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EShutiy\Desktop\Документы 2021\ЗУ про СК 2024\тарифы\калькуляторы финал\на сайт\"/>
    </mc:Choice>
  </mc:AlternateContent>
  <xr:revisionPtr revIDLastSave="0" documentId="8_{D26338AE-8A6D-4C03-8BDB-0F48C7BEC1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алькулятор" sheetId="1" r:id="rId1"/>
    <sheet name="как у пилов" sheetId="4" state="hidden" r:id="rId2"/>
    <sheet name="info" sheetId="2" state="hidden" r:id="rId3"/>
    <sheet name="calc" sheetId="3" state="hidden" r:id="rId4"/>
    <sheet name="Аркуш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5" l="1"/>
  <c r="E47" i="5"/>
  <c r="E43" i="5"/>
  <c r="F43" i="5" s="1"/>
  <c r="E50" i="5" l="1"/>
  <c r="E51" i="5" s="1"/>
  <c r="E37" i="5" l="1"/>
  <c r="E38" i="5" s="1"/>
  <c r="D35" i="5"/>
  <c r="C2" i="5"/>
  <c r="L1" i="1"/>
  <c r="D23" i="5" l="1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I12" i="5"/>
  <c r="I24" i="5" s="1"/>
  <c r="F12" i="5"/>
  <c r="F24" i="5" s="1"/>
  <c r="C34" i="5" s="1"/>
  <c r="E12" i="5"/>
  <c r="E24" i="5" s="1"/>
  <c r="C35" i="5" s="1"/>
  <c r="C12" i="5"/>
  <c r="D11" i="5"/>
  <c r="H23" i="3"/>
  <c r="C37" i="5" l="1"/>
  <c r="C38" i="5" s="1"/>
  <c r="R24" i="5"/>
  <c r="D12" i="5"/>
  <c r="D24" i="5" s="1"/>
  <c r="B6" i="3"/>
  <c r="Q24" i="5" l="1"/>
  <c r="D26" i="1" s="1"/>
  <c r="D20" i="1"/>
  <c r="D41" i="1" s="1"/>
  <c r="D11" i="1"/>
  <c r="B5" i="3"/>
  <c r="G3" i="3" s="1"/>
  <c r="B4" i="3"/>
  <c r="M3" i="3"/>
  <c r="M15" i="3" s="1"/>
  <c r="J15" i="3"/>
  <c r="D40" i="1" l="1"/>
  <c r="D44" i="1"/>
  <c r="D34" i="1"/>
  <c r="D18" i="1" s="1"/>
  <c r="D28" i="1" s="1"/>
  <c r="D35" i="1"/>
  <c r="D39" i="1"/>
  <c r="D37" i="1"/>
  <c r="D42" i="1"/>
  <c r="D43" i="1"/>
  <c r="D38" i="1"/>
  <c r="D36" i="1"/>
  <c r="D45" i="1"/>
  <c r="H3" i="3"/>
  <c r="I3" i="3"/>
  <c r="L3" i="3"/>
  <c r="P2" i="3"/>
  <c r="N3" i="3"/>
  <c r="K3" i="3"/>
  <c r="O3" i="3" l="1"/>
  <c r="G4" i="3" s="1"/>
  <c r="I4" i="3" l="1"/>
  <c r="H4" i="3"/>
  <c r="L4" i="3"/>
  <c r="K4" i="3"/>
  <c r="P3" i="3"/>
  <c r="N4" i="3"/>
  <c r="R4" i="3" l="1"/>
  <c r="R8" i="3"/>
  <c r="R12" i="3"/>
  <c r="R5" i="3"/>
  <c r="R9" i="3"/>
  <c r="R13" i="3"/>
  <c r="R6" i="3"/>
  <c r="R10" i="3"/>
  <c r="R14" i="3"/>
  <c r="R7" i="3"/>
  <c r="R11" i="3"/>
  <c r="R3" i="3"/>
  <c r="O4" i="3"/>
  <c r="G5" i="3" s="1"/>
  <c r="I5" i="3" l="1"/>
  <c r="H5" i="3"/>
  <c r="J19" i="3"/>
  <c r="L5" i="3"/>
  <c r="K5" i="3"/>
  <c r="N5" i="3" l="1"/>
  <c r="O5" i="3" s="1"/>
  <c r="G6" i="3" s="1"/>
  <c r="P4" i="3"/>
  <c r="I6" i="3" l="1"/>
  <c r="H6" i="3"/>
  <c r="K6" i="3"/>
  <c r="L6" i="3"/>
  <c r="N6" i="3"/>
  <c r="P5" i="3"/>
  <c r="O6" i="3" l="1"/>
  <c r="G7" i="3" s="1"/>
  <c r="I7" i="3" l="1"/>
  <c r="H7" i="3"/>
  <c r="K7" i="3"/>
  <c r="L7" i="3"/>
  <c r="N7" i="3"/>
  <c r="P6" i="3"/>
  <c r="O7" i="3" l="1"/>
  <c r="G8" i="3" s="1"/>
  <c r="I8" i="3" l="1"/>
  <c r="H8" i="3"/>
  <c r="K8" i="3"/>
  <c r="L8" i="3"/>
  <c r="P7" i="3"/>
  <c r="N8" i="3"/>
  <c r="O8" i="3" l="1"/>
  <c r="G9" i="3" s="1"/>
  <c r="I9" i="3" l="1"/>
  <c r="H9" i="3"/>
  <c r="L9" i="3"/>
  <c r="K9" i="3"/>
  <c r="N9" i="3"/>
  <c r="P8" i="3"/>
  <c r="O9" i="3" l="1"/>
  <c r="G10" i="3" s="1"/>
  <c r="I10" i="3" l="1"/>
  <c r="H10" i="3"/>
  <c r="L10" i="3"/>
  <c r="K10" i="3"/>
  <c r="P9" i="3"/>
  <c r="N10" i="3"/>
  <c r="O10" i="3" l="1"/>
  <c r="G11" i="3" s="1"/>
  <c r="I11" i="3" l="1"/>
  <c r="H11" i="3"/>
  <c r="K11" i="3"/>
  <c r="L11" i="3"/>
  <c r="N11" i="3"/>
  <c r="P10" i="3"/>
  <c r="O11" i="3" l="1"/>
  <c r="G12" i="3" s="1"/>
  <c r="I12" i="3" l="1"/>
  <c r="H12" i="3"/>
  <c r="K12" i="3"/>
  <c r="L12" i="3"/>
  <c r="P11" i="3"/>
  <c r="N12" i="3"/>
  <c r="O12" i="3" l="1"/>
  <c r="G13" i="3" s="1"/>
  <c r="I13" i="3" l="1"/>
  <c r="H13" i="3"/>
  <c r="L13" i="3"/>
  <c r="K13" i="3"/>
  <c r="N13" i="3"/>
  <c r="P12" i="3"/>
  <c r="O13" i="3" l="1"/>
  <c r="G14" i="3" s="1"/>
  <c r="I14" i="3" l="1"/>
  <c r="H14" i="3"/>
  <c r="H15" i="3" s="1"/>
  <c r="L14" i="3"/>
  <c r="L15" i="3" s="1"/>
  <c r="K14" i="3"/>
  <c r="K15" i="3" s="1"/>
  <c r="G16" i="3"/>
  <c r="G15" i="3" s="1"/>
  <c r="N14" i="3"/>
  <c r="N15" i="3" s="1"/>
  <c r="P13" i="3"/>
  <c r="I15" i="3" l="1"/>
  <c r="O14" i="3"/>
  <c r="P14" i="3" l="1"/>
  <c r="P18" i="3" s="1"/>
  <c r="O15" i="3"/>
  <c r="D22" i="1" l="1"/>
  <c r="D24" i="1" l="1"/>
  <c r="D34" i="5"/>
  <c r="D37" i="5" s="1"/>
  <c r="D38" i="5" s="1"/>
</calcChain>
</file>

<file path=xl/sharedStrings.xml><?xml version="1.0" encoding="utf-8"?>
<sst xmlns="http://schemas.openxmlformats.org/spreadsheetml/2006/main" count="194" uniqueCount="125">
  <si>
    <t>Сума кредиту</t>
  </si>
  <si>
    <t>Строк погашення</t>
  </si>
  <si>
    <t>Страхування від фінансових ризиків</t>
  </si>
  <si>
    <t>Карта</t>
  </si>
  <si>
    <t>Готівка</t>
  </si>
  <si>
    <t>Нещ_вип</t>
  </si>
  <si>
    <t>Проценти</t>
  </si>
  <si>
    <t>Грейс</t>
  </si>
  <si>
    <t>Ком_міс</t>
  </si>
  <si>
    <t>Процентна ставка</t>
  </si>
  <si>
    <t>Пільгова ставка</t>
  </si>
  <si>
    <t>Щомісячна комісія</t>
  </si>
  <si>
    <t>Комісія за зняття готівки</t>
  </si>
  <si>
    <t>Страхування від нещасних випадків</t>
  </si>
  <si>
    <t>Річна комісія</t>
  </si>
  <si>
    <t>СМС</t>
  </si>
  <si>
    <t>Ком_річ</t>
  </si>
  <si>
    <t>Кредитний ліміт</t>
  </si>
  <si>
    <t>Строк</t>
  </si>
  <si>
    <t>Борг</t>
  </si>
  <si>
    <t>Ком_щом</t>
  </si>
  <si>
    <t>Зняття готівки</t>
  </si>
  <si>
    <t>Фін_ризики</t>
  </si>
  <si>
    <t>Платіж</t>
  </si>
  <si>
    <t>Реальний строк погашення</t>
  </si>
  <si>
    <t xml:space="preserve">Строк погашення - щомісячно 100% </t>
  </si>
  <si>
    <t>Умови кредитування:</t>
  </si>
  <si>
    <t>min</t>
  </si>
  <si>
    <t>max</t>
  </si>
  <si>
    <t>Сума кредиту, грн.</t>
  </si>
  <si>
    <t>Строк кредиту, міс.</t>
  </si>
  <si>
    <t>Пільговий період, міс.</t>
  </si>
  <si>
    <t xml:space="preserve">Комісія за надання кредиту, % </t>
  </si>
  <si>
    <t>Комісія за надання кредиту, грн.</t>
  </si>
  <si>
    <t>Щомісячна комісія в пільговий період, %</t>
  </si>
  <si>
    <t>Щомісячна комісія в пільговий період, грн.</t>
  </si>
  <si>
    <t>Щомісячна комісія після пільгового періоду, %</t>
  </si>
  <si>
    <t>Щомісячна комісія після пільгового періоду, грн.</t>
  </si>
  <si>
    <t>Калькулятор розрахунку загальної вартості кредиту</t>
  </si>
  <si>
    <t>*Приклад розрахунку носить виключно інформаційний характер.</t>
  </si>
  <si>
    <t xml:space="preserve">Для отримання розрахунку необхідно заповнити комірки, 
що відображені сірим кольором.
</t>
  </si>
  <si>
    <t>Вартість товару, грн.</t>
  </si>
  <si>
    <t>Перший внесок, грн. (за бажанням клієнта)</t>
  </si>
  <si>
    <t>% ставка річних</t>
  </si>
  <si>
    <t>міс.</t>
  </si>
  <si>
    <t>%</t>
  </si>
  <si>
    <t xml:space="preserve"> грн.</t>
  </si>
  <si>
    <t>Щомісячна комісія в пільговий період</t>
  </si>
  <si>
    <t>Щомісячна комісія після пільгового періоду</t>
  </si>
  <si>
    <t>Послуги страховика, % від суми кредиту</t>
  </si>
  <si>
    <t>Загальна сума наданого кредиту, грн.</t>
  </si>
  <si>
    <t>Загальна сума одноразової комісії, грн.</t>
  </si>
  <si>
    <t>Сума кредиту на товар, грн.</t>
  </si>
  <si>
    <t>Результат розрахунку*</t>
  </si>
  <si>
    <r>
      <rPr>
        <b/>
        <sz val="11"/>
        <rFont val="Trebuchet MS"/>
        <family val="2"/>
        <charset val="204"/>
      </rPr>
      <t>*О</t>
    </r>
    <r>
      <rPr>
        <b/>
        <sz val="10.5"/>
        <rFont val="Trebuchet MS"/>
        <family val="2"/>
        <charset val="204"/>
      </rPr>
      <t>рієнтовно на дату розрахунку, конкретні умови кредитування будуть вказані в паспорті споживчого кредиту в день оформлення кредитної заявки, та можуть відрізнятись в залежності від обраного товару та магазину.</t>
    </r>
  </si>
  <si>
    <t>Cума платежу за розрахунковий період, грн.</t>
  </si>
  <si>
    <t>Загальні витрати за кредитом, грн.</t>
  </si>
  <si>
    <t>Загальна вартість кредиту, грн.</t>
  </si>
  <si>
    <t>Реальна процентна ставка</t>
  </si>
  <si>
    <t>Дата</t>
  </si>
  <si>
    <t>Дата платежу</t>
  </si>
  <si>
    <t>Сума погашення тіла кредиту, грн.</t>
  </si>
  <si>
    <t>Проценти за користування, грн.</t>
  </si>
  <si>
    <t>Щомісячна комісія, грн.</t>
  </si>
  <si>
    <t>Послуги страховика, грн.</t>
  </si>
  <si>
    <t>№</t>
  </si>
  <si>
    <t>х</t>
  </si>
  <si>
    <t>УСЬОГО:</t>
  </si>
  <si>
    <t>грн.</t>
  </si>
  <si>
    <t>Сума використаного ліміту за рік, грн</t>
  </si>
  <si>
    <t>Сума використаного ліміту в міс., грн</t>
  </si>
  <si>
    <t>Умови користування - кредитна лінія на 12 міс. з щомісячним погашенням 100%. Наприклад, кожен місяць клієнт  використовує та погашає</t>
  </si>
  <si>
    <t>Орієнтовна загальна вартість кредиту за рік</t>
  </si>
  <si>
    <t>Орієнтовна загальна вартість кредиту в міс</t>
  </si>
  <si>
    <t>Розмір ліміту (1000 -20000), грн.</t>
  </si>
  <si>
    <t>Використання коштів</t>
  </si>
  <si>
    <t>Зарплата раніше</t>
  </si>
  <si>
    <t>Орієнтовний графік погашення (платежі) (щомісячно при однаковому щомісячному циклі використання)</t>
  </si>
  <si>
    <t>Тип продукту</t>
  </si>
  <si>
    <t>Введіть суму ліміту</t>
  </si>
  <si>
    <t>Введіть суму, що плануєте використовувати</t>
  </si>
  <si>
    <t>* річний розмір кредиту дорівнює місячному оскільки погашення відбувається щомісячно в повному обсязі</t>
  </si>
  <si>
    <t>Приклад 1. Клієнт отримав кредит Зарплата раніше. Витратив 25.08.2023 всю суму і погасив в строк - в останній день строку спливу наступного періоду доступності (05.10.2023), що слідує за періодом доступності, у якому виникла заборгованість. За цей період він заплатив комісію в розмірі 100 грн. за використаний ліміт із заборгованістю понад 250 грн протягом першого Періоду доступності   і проценти на пільговий період</t>
  </si>
  <si>
    <t>суму можна змінювати</t>
  </si>
  <si>
    <t>Розмір комісії Банку</t>
  </si>
  <si>
    <t>Ставка поза пільговим періодом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</si>
  <si>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</si>
  <si>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</si>
  <si>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</si>
  <si>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</si>
  <si>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</si>
  <si>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Реальна річна процентна ставка, %</t>
  </si>
  <si>
    <t>Загальна вартість кредиту, грн</t>
  </si>
  <si>
    <t>сума кредиту за договором</t>
  </si>
  <si>
    <t>проценти за користування кредитом</t>
  </si>
  <si>
    <t>платежі за супровідні послуги</t>
  </si>
  <si>
    <t>банку</t>
  </si>
  <si>
    <t>кредитного посередника (за наявності)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</si>
  <si>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</si>
  <si>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</si>
  <si>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</si>
  <si>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</si>
  <si>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r>
      <t>інші послуги банку</t>
    </r>
    <r>
      <rPr>
        <b/>
        <vertAlign val="superscript"/>
        <sz val="8"/>
        <color rgb="FF333333"/>
        <rFont val="Times New Roman"/>
        <family val="1"/>
        <charset val="204"/>
      </rPr>
      <t>-1</t>
    </r>
  </si>
  <si>
    <t>комісійний збір</t>
  </si>
  <si>
    <r>
      <t>інша плата за послуги кредитного посередника</t>
    </r>
    <r>
      <rPr>
        <b/>
        <vertAlign val="superscript"/>
        <sz val="8"/>
        <color rgb="FF333333"/>
        <rFont val="Times New Roman"/>
        <family val="1"/>
        <charset val="204"/>
      </rPr>
      <t>-1</t>
    </r>
  </si>
  <si>
    <t>послуги нотаріуса</t>
  </si>
  <si>
    <t>послуги оцінювача</t>
  </si>
  <si>
    <t>послуги страховика</t>
  </si>
  <si>
    <r>
      <t>інші послуги третіх осіб</t>
    </r>
    <r>
      <rPr>
        <b/>
        <vertAlign val="superscript"/>
        <sz val="8"/>
        <color rgb="FF333333"/>
        <rFont val="Times New Roman"/>
        <family val="1"/>
        <charset val="204"/>
      </rPr>
      <t>-1</t>
    </r>
  </si>
  <si>
    <t>для 1000</t>
  </si>
  <si>
    <t>для 20000</t>
  </si>
  <si>
    <t xml:space="preserve">Калькулятор розраховує з припущення, що Клієнт витратив  всю суму і погасив в строк - в останній день строку спливу наступного періоду доступності (05 число), що слідує за періодом доступності, у якому виникла заборгованість. </t>
  </si>
  <si>
    <t>ДПС = (ЗВСК/ЗРК)/t × 100%, де ДПС – денна процентна ставка; ЗВСК – загальні витрати за споживчим кредитом; ЗРК – загальний розмір кредиту; t – строк кредитування у днях.</t>
  </si>
  <si>
    <t>ЗВСК</t>
  </si>
  <si>
    <t>ЗРК</t>
  </si>
  <si>
    <t>t</t>
  </si>
  <si>
    <t>ДПС</t>
  </si>
  <si>
    <t>Кредитка</t>
  </si>
  <si>
    <t>комисия</t>
  </si>
  <si>
    <t>альфа чек</t>
  </si>
  <si>
    <t>% дневная</t>
  </si>
  <si>
    <t>Денна процентна ставка</t>
  </si>
  <si>
    <t>Орієнтовна реальна річна процентна ставка</t>
  </si>
  <si>
    <t>Загальні витрати за кредитом в міс</t>
  </si>
  <si>
    <t>Загальні витрати за кредитом в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</si>
</sst>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₽&quot;_-;\-* #,##0.00\ &quot;₽&quot;_-;_-* &quot;-&quot;??\ &quot;₽&quot;_-;_-@_-"/>
    <numFmt numFmtId="165" formatCode="0.0%"/>
    <numFmt numFmtId="166" formatCode="#,##0_ ;\-#,##0\ "/>
    <numFmt numFmtId="167" formatCode="0.00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b/>
      <sz val="1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1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name val="Trebuchet MS"/>
      <family val="2"/>
      <charset val="204"/>
    </font>
    <font>
      <b/>
      <sz val="13"/>
      <color theme="0"/>
      <name val="Trebuchet MS"/>
      <family val="2"/>
      <charset val="204"/>
    </font>
    <font>
      <b/>
      <sz val="11"/>
      <color rgb="FFFF0000"/>
      <name val="Trebuchet MS"/>
      <family val="2"/>
      <charset val="204"/>
    </font>
    <font>
      <sz val="11"/>
      <color theme="0"/>
      <name val="Trebuchet MS"/>
      <family val="2"/>
      <charset val="204"/>
    </font>
    <font>
      <sz val="11"/>
      <color indexed="12"/>
      <name val="Trebuchet MS"/>
      <family val="2"/>
      <charset val="204"/>
    </font>
    <font>
      <b/>
      <sz val="10.5"/>
      <name val="Trebuchet MS"/>
      <family val="2"/>
      <charset val="204"/>
    </font>
    <font>
      <sz val="10.5"/>
      <name val="Trebuchet MS"/>
      <family val="2"/>
      <charset val="204"/>
    </font>
    <font>
      <b/>
      <sz val="12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1"/>
      <color theme="0"/>
      <name val="Century Gothic"/>
      <family val="2"/>
      <charset val="204"/>
    </font>
    <font>
      <b/>
      <sz val="11"/>
      <color rgb="FF0000FF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b/>
      <vertAlign val="superscript"/>
      <sz val="8"/>
      <color rgb="FF333333"/>
      <name val="Times New Roman"/>
      <family val="1"/>
      <charset val="204"/>
    </font>
    <font>
      <sz val="11"/>
      <color rgb="FF0000FF"/>
      <name val="Century Gothic"/>
      <family val="2"/>
      <charset val="204"/>
    </font>
  </fonts>
  <fills count="11">
    <fill>
      <patternFill patternType="none"/>
    </fill>
    <fill>
      <patternFill patternType="gray125"/>
    </fill>
    <fill>
      <patternFill patternType="mediumGray"/>
    </fill>
    <fill>
      <patternFill patternType="solid">
        <fgColor rgb="FF2722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FF"/>
        <bgColor indexed="64"/>
      </patternFill>
    </fill>
    <fill>
      <patternFill patternType="lightDown">
        <bgColor rgb="FF3333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2" borderId="0" xfId="0" applyFont="1" applyFill="1"/>
    <xf numFmtId="10" fontId="2" fillId="0" borderId="0" xfId="0" applyNumberFormat="1" applyFont="1"/>
    <xf numFmtId="9" fontId="2" fillId="0" borderId="0" xfId="1" applyFont="1"/>
    <xf numFmtId="165" fontId="2" fillId="0" borderId="0" xfId="1" applyNumberFormat="1" applyFont="1"/>
    <xf numFmtId="10" fontId="2" fillId="0" borderId="0" xfId="1" applyNumberFormat="1" applyFont="1"/>
    <xf numFmtId="9" fontId="2" fillId="0" borderId="0" xfId="0" applyNumberFormat="1" applyFont="1"/>
    <xf numFmtId="0" fontId="2" fillId="0" borderId="0" xfId="0" applyFont="1" applyAlignment="1">
      <alignment horizontal="center" vertical="center"/>
    </xf>
    <xf numFmtId="165" fontId="2" fillId="0" borderId="0" xfId="0" applyNumberFormat="1" applyFont="1"/>
    <xf numFmtId="1" fontId="2" fillId="0" borderId="0" xfId="1" applyNumberFormat="1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4" fontId="2" fillId="0" borderId="0" xfId="0" applyNumberFormat="1" applyFont="1"/>
    <xf numFmtId="4" fontId="2" fillId="0" borderId="1" xfId="0" applyNumberFormat="1" applyFont="1" applyBorder="1" applyProtection="1">
      <protection hidden="1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hidden="1"/>
    </xf>
    <xf numFmtId="2" fontId="2" fillId="0" borderId="0" xfId="1" applyNumberFormat="1" applyFont="1"/>
    <xf numFmtId="2" fontId="2" fillId="0" borderId="0" xfId="0" applyNumberFormat="1" applyFont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4" fontId="4" fillId="5" borderId="3" xfId="0" applyNumberFormat="1" applyFont="1" applyFill="1" applyBorder="1" applyProtection="1">
      <protection locked="0"/>
    </xf>
    <xf numFmtId="0" fontId="11" fillId="0" borderId="0" xfId="0" applyFont="1"/>
    <xf numFmtId="10" fontId="4" fillId="5" borderId="3" xfId="0" applyNumberFormat="1" applyFont="1" applyFill="1" applyBorder="1" applyProtection="1">
      <protection locked="0"/>
    </xf>
    <xf numFmtId="0" fontId="11" fillId="0" borderId="0" xfId="0" applyFont="1" applyAlignment="1" applyProtection="1">
      <alignment horizontal="left"/>
      <protection hidden="1"/>
    </xf>
    <xf numFmtId="0" fontId="4" fillId="5" borderId="3" xfId="0" applyFont="1" applyFill="1" applyBorder="1" applyProtection="1">
      <protection locked="0"/>
    </xf>
    <xf numFmtId="10" fontId="4" fillId="0" borderId="3" xfId="0" applyNumberFormat="1" applyFont="1" applyBorder="1"/>
    <xf numFmtId="10" fontId="4" fillId="0" borderId="0" xfId="0" applyNumberFormat="1" applyFont="1"/>
    <xf numFmtId="0" fontId="12" fillId="0" borderId="0" xfId="0" applyFont="1" applyProtection="1">
      <protection hidden="1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4" fillId="5" borderId="6" xfId="1" applyNumberFormat="1" applyFont="1" applyFill="1" applyBorder="1" applyProtection="1">
      <protection locked="0"/>
    </xf>
    <xf numFmtId="2" fontId="4" fillId="5" borderId="3" xfId="0" applyNumberFormat="1" applyFont="1" applyFill="1" applyBorder="1" applyProtection="1">
      <protection locked="0"/>
    </xf>
    <xf numFmtId="0" fontId="4" fillId="0" borderId="3" xfId="0" applyFont="1" applyBorder="1" applyProtection="1">
      <protection hidden="1"/>
    </xf>
    <xf numFmtId="0" fontId="4" fillId="0" borderId="0" xfId="0" applyFont="1" applyProtection="1">
      <protection locked="0"/>
    </xf>
    <xf numFmtId="4" fontId="6" fillId="0" borderId="0" xfId="0" applyNumberFormat="1" applyFont="1"/>
    <xf numFmtId="4" fontId="11" fillId="0" borderId="0" xfId="0" applyNumberFormat="1" applyFont="1" applyAlignment="1" applyProtection="1">
      <alignment horizontal="left"/>
      <protection hidden="1"/>
    </xf>
    <xf numFmtId="10" fontId="4" fillId="6" borderId="3" xfId="0" applyNumberFormat="1" applyFont="1" applyFill="1" applyBorder="1"/>
    <xf numFmtId="4" fontId="4" fillId="0" borderId="3" xfId="0" applyNumberFormat="1" applyFont="1" applyBorder="1" applyProtection="1">
      <protection hidden="1"/>
    </xf>
    <xf numFmtId="9" fontId="7" fillId="0" borderId="0" xfId="1" applyFont="1"/>
    <xf numFmtId="10" fontId="4" fillId="0" borderId="3" xfId="1" applyNumberFormat="1" applyFont="1" applyFill="1" applyBorder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14" fontId="11" fillId="0" borderId="0" xfId="0" applyNumberFormat="1" applyFont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/>
      <protection hidden="1"/>
    </xf>
    <xf numFmtId="14" fontId="13" fillId="0" borderId="3" xfId="0" applyNumberFormat="1" applyFont="1" applyBorder="1" applyProtection="1">
      <protection hidden="1"/>
    </xf>
    <xf numFmtId="4" fontId="13" fillId="0" borderId="3" xfId="0" applyNumberFormat="1" applyFont="1" applyBorder="1" applyProtection="1">
      <protection hidden="1"/>
    </xf>
    <xf numFmtId="4" fontId="13" fillId="0" borderId="3" xfId="0" applyNumberFormat="1" applyFont="1" applyBorder="1" applyAlignment="1" applyProtection="1">
      <alignment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14" fontId="6" fillId="0" borderId="3" xfId="0" applyNumberFormat="1" applyFont="1" applyBorder="1" applyProtection="1">
      <protection hidden="1"/>
    </xf>
    <xf numFmtId="4" fontId="6" fillId="0" borderId="3" xfId="0" applyNumberFormat="1" applyFont="1" applyBorder="1" applyProtection="1">
      <protection hidden="1"/>
    </xf>
    <xf numFmtId="4" fontId="6" fillId="0" borderId="3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Protection="1">
      <protection hidden="1"/>
    </xf>
    <xf numFmtId="4" fontId="15" fillId="0" borderId="3" xfId="0" applyNumberFormat="1" applyFont="1" applyBorder="1" applyProtection="1">
      <protection hidden="1"/>
    </xf>
    <xf numFmtId="4" fontId="16" fillId="0" borderId="3" xfId="0" applyNumberFormat="1" applyFont="1" applyBorder="1" applyProtection="1">
      <protection hidden="1"/>
    </xf>
    <xf numFmtId="0" fontId="17" fillId="7" borderId="2" xfId="0" applyFont="1" applyFill="1" applyBorder="1"/>
    <xf numFmtId="166" fontId="2" fillId="0" borderId="0" xfId="0" applyNumberFormat="1" applyFont="1" applyBorder="1"/>
    <xf numFmtId="0" fontId="2" fillId="8" borderId="0" xfId="0" applyFont="1" applyFill="1"/>
    <xf numFmtId="3" fontId="2" fillId="0" borderId="1" xfId="0" applyNumberFormat="1" applyFont="1" applyBorder="1"/>
    <xf numFmtId="0" fontId="18" fillId="0" borderId="0" xfId="0" applyFont="1"/>
    <xf numFmtId="3" fontId="18" fillId="0" borderId="0" xfId="0" applyNumberFormat="1" applyFont="1"/>
    <xf numFmtId="14" fontId="2" fillId="0" borderId="0" xfId="0" applyNumberFormat="1" applyFont="1"/>
    <xf numFmtId="0" fontId="0" fillId="0" borderId="0" xfId="0" applyAlignment="1">
      <alignment vertical="center"/>
    </xf>
    <xf numFmtId="0" fontId="19" fillId="0" borderId="0" xfId="0" applyFont="1"/>
    <xf numFmtId="10" fontId="0" fillId="0" borderId="0" xfId="0" applyNumberFormat="1"/>
    <xf numFmtId="9" fontId="0" fillId="0" borderId="0" xfId="0" applyNumberFormat="1"/>
    <xf numFmtId="0" fontId="20" fillId="9" borderId="20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10" fontId="0" fillId="10" borderId="0" xfId="0" applyNumberFormat="1" applyFill="1"/>
    <xf numFmtId="2" fontId="0" fillId="10" borderId="0" xfId="0" applyNumberFormat="1" applyFill="1"/>
    <xf numFmtId="0" fontId="22" fillId="0" borderId="0" xfId="0" applyFont="1"/>
    <xf numFmtId="3" fontId="0" fillId="0" borderId="0" xfId="0" applyNumberFormat="1"/>
    <xf numFmtId="10" fontId="2" fillId="0" borderId="1" xfId="1" applyNumberFormat="1" applyFont="1" applyBorder="1" applyProtection="1">
      <protection hidden="1"/>
    </xf>
    <xf numFmtId="4" fontId="0" fillId="0" borderId="0" xfId="0" applyNumberFormat="1"/>
    <xf numFmtId="167" fontId="2" fillId="0" borderId="1" xfId="1" applyNumberFormat="1" applyFont="1" applyBorder="1" applyProtection="1">
      <protection hidden="1"/>
    </xf>
    <xf numFmtId="167" fontId="0" fillId="0" borderId="0" xfId="0" applyNumberFormat="1"/>
    <xf numFmtId="0" fontId="17" fillId="7" borderId="0" xfId="0" applyFont="1" applyFill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left"/>
    </xf>
    <xf numFmtId="14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right"/>
      <protection hidden="1"/>
    </xf>
    <xf numFmtId="0" fontId="9" fillId="3" borderId="0" xfId="0" applyFont="1" applyFill="1" applyAlignment="1">
      <alignment horizontal="center" vertical="center"/>
    </xf>
    <xf numFmtId="0" fontId="13" fillId="4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9" borderId="14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M46"/>
  <sheetViews>
    <sheetView showGridLines="0" tabSelected="1" workbookViewId="0">
      <selection activeCell="F17" sqref="F17"/>
    </sheetView>
  </sheetViews>
  <sheetFormatPr defaultColWidth="9.109375" defaultRowHeight="13.8" x14ac:dyDescent="0.25"/>
  <cols>
    <col min="1" max="1" width="9.109375" style="1"/>
    <col min="2" max="2" width="61.5546875" style="1" customWidth="1"/>
    <col min="3" max="3" width="3.88671875" style="1" customWidth="1"/>
    <col min="4" max="4" width="19.88671875" style="1" customWidth="1"/>
    <col min="5" max="8" width="9.109375" style="1"/>
    <col min="9" max="9" width="10.6640625" style="1" customWidth="1"/>
    <col min="10" max="10" width="10.109375" style="1" customWidth="1"/>
    <col min="11" max="11" width="13" style="1" customWidth="1"/>
    <col min="12" max="12" width="9.6640625" style="1" customWidth="1"/>
    <col min="13" max="16384" width="9.109375" style="1"/>
  </cols>
  <sheetData>
    <row r="1" spans="2:13" x14ac:dyDescent="0.25">
      <c r="B1" s="79" t="s">
        <v>71</v>
      </c>
      <c r="L1" s="80">
        <f>D9</f>
        <v>1000</v>
      </c>
      <c r="M1" s="79" t="s">
        <v>68</v>
      </c>
    </row>
    <row r="2" spans="2:13" ht="26.25" customHeight="1" x14ac:dyDescent="0.25">
      <c r="B2" s="91" t="s">
        <v>111</v>
      </c>
      <c r="L2" s="80"/>
      <c r="M2" s="79"/>
    </row>
    <row r="3" spans="2:13" ht="19.5" customHeight="1" x14ac:dyDescent="0.25">
      <c r="B3" s="91" t="s">
        <v>81</v>
      </c>
    </row>
    <row r="4" spans="2:13" ht="14.4" thickBot="1" x14ac:dyDescent="0.3">
      <c r="B4" s="75" t="s">
        <v>78</v>
      </c>
      <c r="D4" s="79" t="s">
        <v>76</v>
      </c>
    </row>
    <row r="5" spans="2:13" ht="7.5" customHeight="1" x14ac:dyDescent="0.25">
      <c r="B5" s="4"/>
    </row>
    <row r="6" spans="2:13" ht="7.5" customHeight="1" thickBot="1" x14ac:dyDescent="0.3">
      <c r="B6" s="4"/>
    </row>
    <row r="7" spans="2:13" ht="18.75" customHeight="1" thickBot="1" x14ac:dyDescent="0.3">
      <c r="B7" s="3" t="s">
        <v>74</v>
      </c>
      <c r="D7" s="19">
        <v>20000</v>
      </c>
      <c r="E7" s="79" t="s">
        <v>79</v>
      </c>
    </row>
    <row r="8" spans="2:13" ht="4.5" customHeight="1" thickBot="1" x14ac:dyDescent="0.3">
      <c r="B8" s="4"/>
      <c r="D8" s="76"/>
    </row>
    <row r="9" spans="2:13" ht="22.5" customHeight="1" thickBot="1" x14ac:dyDescent="0.3">
      <c r="B9" s="3" t="s">
        <v>70</v>
      </c>
      <c r="D9" s="19">
        <v>1000</v>
      </c>
      <c r="E9" s="79" t="s">
        <v>80</v>
      </c>
    </row>
    <row r="10" spans="2:13" ht="4.5" customHeight="1" thickBot="1" x14ac:dyDescent="0.3">
      <c r="B10" s="4"/>
    </row>
    <row r="11" spans="2:13" ht="21.75" customHeight="1" thickBot="1" x14ac:dyDescent="0.3">
      <c r="B11" s="3" t="s">
        <v>69</v>
      </c>
      <c r="D11" s="78">
        <f>D9</f>
        <v>1000</v>
      </c>
    </row>
    <row r="12" spans="2:13" ht="24" customHeight="1" thickBot="1" x14ac:dyDescent="0.3">
      <c r="B12" s="3" t="s">
        <v>25</v>
      </c>
      <c r="D12" s="1">
        <v>1</v>
      </c>
      <c r="E12" s="1" t="s">
        <v>44</v>
      </c>
    </row>
    <row r="13" spans="2:13" ht="7.5" customHeight="1" x14ac:dyDescent="0.25">
      <c r="B13" s="5"/>
      <c r="C13" s="5"/>
      <c r="D13" s="5"/>
    </row>
    <row r="14" spans="2:13" ht="2.25" customHeight="1" x14ac:dyDescent="0.25"/>
    <row r="15" spans="2:13" x14ac:dyDescent="0.25">
      <c r="B15" s="77"/>
      <c r="C15" s="77"/>
      <c r="D15" s="77"/>
    </row>
    <row r="17" spans="2:11" ht="3.75" customHeight="1" thickBot="1" x14ac:dyDescent="0.3"/>
    <row r="18" spans="2:11" ht="14.4" thickBot="1" x14ac:dyDescent="0.3">
      <c r="B18" s="3" t="s">
        <v>123</v>
      </c>
      <c r="D18" s="18">
        <f>D34-D9</f>
        <v>100.01123287671226</v>
      </c>
    </row>
    <row r="19" spans="2:11" ht="7.5" customHeight="1" thickBot="1" x14ac:dyDescent="0.3"/>
    <row r="20" spans="2:11" ht="14.4" thickBot="1" x14ac:dyDescent="0.3">
      <c r="B20" s="3" t="s">
        <v>73</v>
      </c>
      <c r="D20" s="18">
        <f>Аркуш1!R24</f>
        <v>1100.0112328767123</v>
      </c>
    </row>
    <row r="21" spans="2:11" ht="14.4" thickBot="1" x14ac:dyDescent="0.3"/>
    <row r="22" spans="2:11" ht="14.4" thickBot="1" x14ac:dyDescent="0.3">
      <c r="B22" s="3" t="s">
        <v>124</v>
      </c>
      <c r="D22" s="18">
        <f>D18*12</f>
        <v>1200.1347945205471</v>
      </c>
    </row>
    <row r="23" spans="2:11" ht="7.5" customHeight="1" thickBot="1" x14ac:dyDescent="0.3"/>
    <row r="24" spans="2:11" ht="14.4" thickBot="1" x14ac:dyDescent="0.3">
      <c r="B24" s="3" t="s">
        <v>72</v>
      </c>
      <c r="D24" s="18">
        <f>D11+D22</f>
        <v>2200.1347945205471</v>
      </c>
    </row>
    <row r="25" spans="2:11" ht="14.4" thickBot="1" x14ac:dyDescent="0.3"/>
    <row r="26" spans="2:11" ht="14.4" thickBot="1" x14ac:dyDescent="0.3">
      <c r="B26" s="3" t="s">
        <v>122</v>
      </c>
      <c r="D26" s="93">
        <f>Аркуш1!Q24</f>
        <v>1.3363361964002252</v>
      </c>
    </row>
    <row r="27" spans="2:11" ht="14.4" thickBot="1" x14ac:dyDescent="0.3"/>
    <row r="28" spans="2:11" ht="14.4" thickBot="1" x14ac:dyDescent="0.3">
      <c r="B28" s="3" t="s">
        <v>121</v>
      </c>
      <c r="D28" s="95">
        <f>D18/D11/30</f>
        <v>3.3337077625570752E-3</v>
      </c>
    </row>
    <row r="29" spans="2:11" ht="14.4" thickBot="1" x14ac:dyDescent="0.3"/>
    <row r="30" spans="2:11" ht="14.4" thickBot="1" x14ac:dyDescent="0.3">
      <c r="B30" s="3" t="s">
        <v>24</v>
      </c>
      <c r="D30" s="20">
        <v>1</v>
      </c>
      <c r="E30" s="1" t="s">
        <v>44</v>
      </c>
    </row>
    <row r="32" spans="2:11" x14ac:dyDescent="0.25">
      <c r="K32" s="15"/>
    </row>
    <row r="33" spans="2:8" x14ac:dyDescent="0.25">
      <c r="B33" s="97" t="s">
        <v>77</v>
      </c>
      <c r="C33" s="97"/>
      <c r="D33" s="97"/>
      <c r="E33" s="97"/>
      <c r="F33" s="97"/>
      <c r="G33" s="97"/>
      <c r="H33" s="97"/>
    </row>
    <row r="34" spans="2:8" x14ac:dyDescent="0.25">
      <c r="B34" s="1">
        <v>1</v>
      </c>
      <c r="D34" s="17">
        <f>D20</f>
        <v>1100.0112328767123</v>
      </c>
    </row>
    <row r="35" spans="2:8" x14ac:dyDescent="0.25">
      <c r="B35" s="1">
        <v>2</v>
      </c>
      <c r="D35" s="17">
        <f>D20</f>
        <v>1100.0112328767123</v>
      </c>
    </row>
    <row r="36" spans="2:8" x14ac:dyDescent="0.25">
      <c r="B36" s="1">
        <v>3</v>
      </c>
      <c r="D36" s="17">
        <f>D20</f>
        <v>1100.0112328767123</v>
      </c>
    </row>
    <row r="37" spans="2:8" x14ac:dyDescent="0.25">
      <c r="B37" s="1">
        <v>4</v>
      </c>
      <c r="D37" s="17">
        <f>D20</f>
        <v>1100.0112328767123</v>
      </c>
    </row>
    <row r="38" spans="2:8" x14ac:dyDescent="0.25">
      <c r="B38" s="1">
        <v>5</v>
      </c>
      <c r="D38" s="17">
        <f>D20</f>
        <v>1100.0112328767123</v>
      </c>
    </row>
    <row r="39" spans="2:8" x14ac:dyDescent="0.25">
      <c r="B39" s="1">
        <v>6</v>
      </c>
      <c r="D39" s="17">
        <f>D20</f>
        <v>1100.0112328767123</v>
      </c>
    </row>
    <row r="40" spans="2:8" x14ac:dyDescent="0.25">
      <c r="B40" s="1">
        <v>7</v>
      </c>
      <c r="D40" s="17">
        <f>D20</f>
        <v>1100.0112328767123</v>
      </c>
    </row>
    <row r="41" spans="2:8" x14ac:dyDescent="0.25">
      <c r="B41" s="1">
        <v>8</v>
      </c>
      <c r="D41" s="17">
        <f>D20</f>
        <v>1100.0112328767123</v>
      </c>
    </row>
    <row r="42" spans="2:8" x14ac:dyDescent="0.25">
      <c r="B42" s="1">
        <v>9</v>
      </c>
      <c r="D42" s="17">
        <f>D20</f>
        <v>1100.0112328767123</v>
      </c>
    </row>
    <row r="43" spans="2:8" x14ac:dyDescent="0.25">
      <c r="B43" s="1">
        <v>10</v>
      </c>
      <c r="D43" s="17">
        <f>D20</f>
        <v>1100.0112328767123</v>
      </c>
    </row>
    <row r="44" spans="2:8" x14ac:dyDescent="0.25">
      <c r="B44" s="1">
        <v>11</v>
      </c>
      <c r="D44" s="17">
        <f>D20</f>
        <v>1100.0112328767123</v>
      </c>
    </row>
    <row r="45" spans="2:8" ht="14.4" thickBot="1" x14ac:dyDescent="0.3">
      <c r="B45" s="3">
        <v>12</v>
      </c>
      <c r="D45" s="17">
        <f>D20</f>
        <v>1100.0112328767123</v>
      </c>
    </row>
    <row r="46" spans="2:8" x14ac:dyDescent="0.25">
      <c r="D46" s="17"/>
    </row>
  </sheetData>
  <mergeCells count="1">
    <mergeCell ref="B33:H33"/>
  </mergeCells>
  <dataValidations count="2">
    <dataValidation type="whole" allowBlank="1" showInputMessage="1" showErrorMessage="1" error="Недостатній ліміт" sqref="D9" xr:uid="{00000000-0002-0000-0000-000000000000}">
      <formula1>0</formula1>
      <formula2>D7</formula2>
    </dataValidation>
    <dataValidation type="whole" allowBlank="1" showInputMessage="1" showErrorMessage="1" error="Можливий ліміт 1 000 - 20 000 грн." sqref="D7" xr:uid="{CFDC5FAE-3C06-40FF-83B3-06E399599CA7}">
      <formula1>1000</formula1>
      <formula2>20000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9164-C18D-4DDD-AC36-1A651BD8ABE9}">
  <dimension ref="A1:H74"/>
  <sheetViews>
    <sheetView topLeftCell="A13" workbookViewId="0">
      <selection activeCell="F35" sqref="F35"/>
    </sheetView>
  </sheetViews>
  <sheetFormatPr defaultRowHeight="14.4" x14ac:dyDescent="0.3"/>
  <cols>
    <col min="2" max="2" width="14.33203125" customWidth="1"/>
    <col min="3" max="3" width="12.5546875" customWidth="1"/>
    <col min="4" max="4" width="18.109375" customWidth="1"/>
    <col min="5" max="5" width="12.88671875" customWidth="1"/>
    <col min="6" max="6" width="15.88671875" customWidth="1"/>
  </cols>
  <sheetData>
    <row r="1" spans="1:8" x14ac:dyDescent="0.3">
      <c r="A1" s="101" t="s">
        <v>26</v>
      </c>
      <c r="B1" s="101"/>
      <c r="C1" s="101"/>
      <c r="D1" s="101"/>
      <c r="E1" s="23" t="s">
        <v>27</v>
      </c>
      <c r="F1" s="24" t="s">
        <v>28</v>
      </c>
      <c r="G1" s="25"/>
      <c r="H1" s="26"/>
    </row>
    <row r="2" spans="1:8" x14ac:dyDescent="0.3">
      <c r="A2" s="98" t="s">
        <v>29</v>
      </c>
      <c r="B2" s="99"/>
      <c r="C2" s="99"/>
      <c r="D2" s="100"/>
      <c r="E2" s="27">
        <v>1000</v>
      </c>
      <c r="F2" s="27">
        <v>50000</v>
      </c>
      <c r="G2" s="25"/>
      <c r="H2" s="26"/>
    </row>
    <row r="3" spans="1:8" x14ac:dyDescent="0.3">
      <c r="A3" s="98" t="s">
        <v>30</v>
      </c>
      <c r="B3" s="99"/>
      <c r="C3" s="99"/>
      <c r="D3" s="100"/>
      <c r="E3" s="28">
        <v>2</v>
      </c>
      <c r="F3" s="28">
        <v>24</v>
      </c>
      <c r="G3" s="25"/>
      <c r="H3" s="26"/>
    </row>
    <row r="4" spans="1:8" x14ac:dyDescent="0.3">
      <c r="A4" s="98" t="s">
        <v>31</v>
      </c>
      <c r="B4" s="99"/>
      <c r="C4" s="99"/>
      <c r="D4" s="100"/>
      <c r="E4" s="28">
        <v>3</v>
      </c>
      <c r="F4" s="28">
        <v>12</v>
      </c>
      <c r="G4" s="25"/>
      <c r="H4" s="26"/>
    </row>
    <row r="5" spans="1:8" x14ac:dyDescent="0.3">
      <c r="A5" s="102" t="s">
        <v>32</v>
      </c>
      <c r="B5" s="99"/>
      <c r="C5" s="99"/>
      <c r="D5" s="100"/>
      <c r="E5" s="29">
        <v>0</v>
      </c>
      <c r="F5" s="29">
        <v>0.16500000000000001</v>
      </c>
      <c r="G5" s="25"/>
      <c r="H5" s="26"/>
    </row>
    <row r="6" spans="1:8" x14ac:dyDescent="0.3">
      <c r="A6" s="98" t="s">
        <v>33</v>
      </c>
      <c r="B6" s="99"/>
      <c r="C6" s="99"/>
      <c r="D6" s="100"/>
      <c r="E6" s="30">
        <v>0</v>
      </c>
      <c r="F6" s="30">
        <v>500</v>
      </c>
      <c r="G6" s="25"/>
      <c r="H6" s="26"/>
    </row>
    <row r="7" spans="1:8" x14ac:dyDescent="0.3">
      <c r="A7" s="98" t="s">
        <v>34</v>
      </c>
      <c r="B7" s="99"/>
      <c r="C7" s="99"/>
      <c r="D7" s="100"/>
      <c r="E7" s="29">
        <v>0</v>
      </c>
      <c r="F7" s="29">
        <v>0.03</v>
      </c>
      <c r="G7" s="25"/>
      <c r="H7" s="26"/>
    </row>
    <row r="8" spans="1:8" x14ac:dyDescent="0.3">
      <c r="A8" s="98" t="s">
        <v>35</v>
      </c>
      <c r="B8" s="99"/>
      <c r="C8" s="99"/>
      <c r="D8" s="100"/>
      <c r="E8" s="30">
        <v>0</v>
      </c>
      <c r="F8" s="30">
        <v>167</v>
      </c>
      <c r="G8" s="25"/>
      <c r="H8" s="26"/>
    </row>
    <row r="9" spans="1:8" x14ac:dyDescent="0.3">
      <c r="A9" s="98" t="s">
        <v>36</v>
      </c>
      <c r="B9" s="99"/>
      <c r="C9" s="99"/>
      <c r="D9" s="100"/>
      <c r="E9" s="29">
        <v>0.03</v>
      </c>
      <c r="F9" s="29">
        <v>3.5000000000000003E-2</v>
      </c>
      <c r="G9" s="25"/>
      <c r="H9" s="26"/>
    </row>
    <row r="10" spans="1:8" x14ac:dyDescent="0.3">
      <c r="A10" s="98" t="s">
        <v>37</v>
      </c>
      <c r="B10" s="99"/>
      <c r="C10" s="99"/>
      <c r="D10" s="100"/>
      <c r="E10" s="30">
        <v>0</v>
      </c>
      <c r="F10" s="30">
        <v>100</v>
      </c>
      <c r="G10" s="25"/>
      <c r="H10" s="26"/>
    </row>
    <row r="11" spans="1:8" ht="15" x14ac:dyDescent="0.35">
      <c r="A11" s="31"/>
      <c r="B11" s="31"/>
      <c r="C11" s="31"/>
      <c r="D11" s="31"/>
      <c r="E11" s="32"/>
      <c r="F11" s="33"/>
      <c r="G11" s="25"/>
      <c r="H11" s="26"/>
    </row>
    <row r="12" spans="1:8" ht="17.399999999999999" x14ac:dyDescent="0.3">
      <c r="A12" s="104" t="s">
        <v>38</v>
      </c>
      <c r="B12" s="105"/>
      <c r="C12" s="105"/>
      <c r="D12" s="105"/>
      <c r="E12" s="105"/>
      <c r="F12" s="106"/>
      <c r="G12" s="25"/>
      <c r="H12" s="26"/>
    </row>
    <row r="13" spans="1:8" x14ac:dyDescent="0.3">
      <c r="A13" s="107" t="s">
        <v>39</v>
      </c>
      <c r="B13" s="108"/>
      <c r="C13" s="108"/>
      <c r="D13" s="108"/>
      <c r="E13" s="108"/>
      <c r="F13" s="109"/>
      <c r="G13" s="25"/>
      <c r="H13" s="26"/>
    </row>
    <row r="14" spans="1:8" x14ac:dyDescent="0.3">
      <c r="A14" s="110" t="s">
        <v>40</v>
      </c>
      <c r="B14" s="111"/>
      <c r="C14" s="111"/>
      <c r="D14" s="111"/>
      <c r="E14" s="111"/>
      <c r="F14" s="112"/>
      <c r="G14" s="25"/>
      <c r="H14" s="26"/>
    </row>
    <row r="15" spans="1:8" x14ac:dyDescent="0.3">
      <c r="A15" s="26"/>
      <c r="B15" s="26"/>
      <c r="C15" s="26"/>
      <c r="D15" s="26"/>
      <c r="E15" s="26"/>
      <c r="F15" s="26"/>
      <c r="G15" s="25"/>
      <c r="H15" s="26"/>
    </row>
    <row r="16" spans="1:8" x14ac:dyDescent="0.3">
      <c r="A16" s="34" t="s">
        <v>41</v>
      </c>
      <c r="B16" s="35"/>
      <c r="C16" s="36"/>
      <c r="D16" s="36"/>
      <c r="E16" s="37"/>
      <c r="F16" s="38">
        <v>15000</v>
      </c>
      <c r="G16" s="25"/>
      <c r="H16" s="26"/>
    </row>
    <row r="17" spans="1:8" x14ac:dyDescent="0.3">
      <c r="A17" s="34" t="s">
        <v>42</v>
      </c>
      <c r="B17" s="35"/>
      <c r="C17" s="36"/>
      <c r="D17" s="36"/>
      <c r="E17" s="37"/>
      <c r="F17" s="38">
        <v>0</v>
      </c>
      <c r="G17" s="39"/>
      <c r="H17" s="26"/>
    </row>
    <row r="18" spans="1:8" x14ac:dyDescent="0.3">
      <c r="A18" s="34" t="s">
        <v>32</v>
      </c>
      <c r="B18" s="35"/>
      <c r="C18" s="36"/>
      <c r="D18" s="36"/>
      <c r="E18" s="37"/>
      <c r="F18" s="40">
        <v>0</v>
      </c>
      <c r="G18" s="41">
        <v>0</v>
      </c>
      <c r="H18" s="26"/>
    </row>
    <row r="19" spans="1:8" x14ac:dyDescent="0.3">
      <c r="A19" s="34" t="s">
        <v>33</v>
      </c>
      <c r="B19" s="34"/>
      <c r="C19" s="35"/>
      <c r="D19" s="36"/>
      <c r="E19" s="36"/>
      <c r="F19" s="38">
        <v>0</v>
      </c>
      <c r="G19" s="39"/>
      <c r="H19" s="26"/>
    </row>
    <row r="20" spans="1:8" x14ac:dyDescent="0.3">
      <c r="A20" s="113" t="s">
        <v>30</v>
      </c>
      <c r="B20" s="113"/>
      <c r="C20" s="113"/>
      <c r="D20" s="113"/>
      <c r="E20" s="113"/>
      <c r="F20" s="42">
        <v>12</v>
      </c>
      <c r="G20" s="39"/>
      <c r="H20" s="26"/>
    </row>
    <row r="21" spans="1:8" x14ac:dyDescent="0.3">
      <c r="A21" s="113" t="s">
        <v>43</v>
      </c>
      <c r="B21" s="113"/>
      <c r="C21" s="113"/>
      <c r="D21" s="113"/>
      <c r="E21" s="113"/>
      <c r="F21" s="43">
        <v>1E-4</v>
      </c>
      <c r="G21" s="39"/>
      <c r="H21" s="26"/>
    </row>
    <row r="22" spans="1:8" x14ac:dyDescent="0.3">
      <c r="A22" s="25"/>
      <c r="B22" s="25"/>
      <c r="C22" s="25"/>
      <c r="D22" s="25"/>
      <c r="E22" s="44"/>
      <c r="F22" s="25"/>
      <c r="G22" s="39"/>
      <c r="H22" s="26"/>
    </row>
    <row r="23" spans="1:8" x14ac:dyDescent="0.3">
      <c r="A23" s="25"/>
      <c r="B23" s="45"/>
      <c r="C23" s="25"/>
      <c r="D23" s="46" t="s">
        <v>44</v>
      </c>
      <c r="E23" s="47" t="s">
        <v>45</v>
      </c>
      <c r="F23" s="48" t="s">
        <v>46</v>
      </c>
      <c r="G23" s="39"/>
      <c r="H23" s="26"/>
    </row>
    <row r="24" spans="1:8" x14ac:dyDescent="0.3">
      <c r="A24" s="35" t="s">
        <v>47</v>
      </c>
      <c r="B24" s="36"/>
      <c r="C24" s="36"/>
      <c r="D24" s="42">
        <v>6</v>
      </c>
      <c r="E24" s="49">
        <v>0</v>
      </c>
      <c r="F24" s="50">
        <v>0</v>
      </c>
      <c r="G24" s="39"/>
      <c r="H24" s="26"/>
    </row>
    <row r="25" spans="1:8" x14ac:dyDescent="0.3">
      <c r="A25" s="35" t="s">
        <v>48</v>
      </c>
      <c r="B25" s="36"/>
      <c r="C25" s="36"/>
      <c r="D25" s="51">
        <v>12</v>
      </c>
      <c r="E25" s="49">
        <v>0.03</v>
      </c>
      <c r="F25" s="50">
        <v>0</v>
      </c>
      <c r="G25" s="39"/>
      <c r="H25" s="26"/>
    </row>
    <row r="26" spans="1:8" x14ac:dyDescent="0.3">
      <c r="A26" s="25"/>
      <c r="B26" s="25"/>
      <c r="C26" s="25"/>
      <c r="D26" s="25"/>
      <c r="E26" s="52"/>
      <c r="F26" s="53"/>
      <c r="G26" s="54">
        <v>2700</v>
      </c>
      <c r="H26" s="26"/>
    </row>
    <row r="27" spans="1:8" x14ac:dyDescent="0.3">
      <c r="A27" s="113" t="s">
        <v>49</v>
      </c>
      <c r="B27" s="113"/>
      <c r="C27" s="113"/>
      <c r="D27" s="113"/>
      <c r="E27" s="113"/>
      <c r="F27" s="55">
        <v>0</v>
      </c>
      <c r="G27" s="54">
        <v>0</v>
      </c>
      <c r="H27" s="26"/>
    </row>
    <row r="28" spans="1:8" x14ac:dyDescent="0.3">
      <c r="A28" s="25"/>
      <c r="B28" s="25"/>
      <c r="C28" s="25"/>
      <c r="D28" s="25"/>
      <c r="E28" s="52"/>
      <c r="F28" s="53"/>
      <c r="G28" s="54"/>
      <c r="H28" s="26"/>
    </row>
    <row r="29" spans="1:8" x14ac:dyDescent="0.3">
      <c r="A29" s="103" t="s">
        <v>50</v>
      </c>
      <c r="B29" s="103"/>
      <c r="C29" s="103"/>
      <c r="D29" s="103"/>
      <c r="E29" s="103"/>
      <c r="F29" s="56">
        <v>15000</v>
      </c>
      <c r="G29" s="25"/>
      <c r="H29" s="26"/>
    </row>
    <row r="30" spans="1:8" x14ac:dyDescent="0.3">
      <c r="A30" s="103" t="s">
        <v>51</v>
      </c>
      <c r="B30" s="103"/>
      <c r="C30" s="103"/>
      <c r="D30" s="103"/>
      <c r="E30" s="103"/>
      <c r="F30" s="56">
        <v>0</v>
      </c>
      <c r="G30" s="25"/>
      <c r="H30" s="26"/>
    </row>
    <row r="31" spans="1:8" x14ac:dyDescent="0.3">
      <c r="A31" s="103" t="s">
        <v>52</v>
      </c>
      <c r="B31" s="103"/>
      <c r="C31" s="103"/>
      <c r="D31" s="103"/>
      <c r="E31" s="103"/>
      <c r="F31" s="56">
        <v>15000</v>
      </c>
      <c r="G31" s="25"/>
      <c r="H31" s="26"/>
    </row>
    <row r="32" spans="1:8" x14ac:dyDescent="0.3">
      <c r="A32" s="26"/>
      <c r="B32" s="26"/>
      <c r="C32" s="26"/>
      <c r="D32" s="26"/>
      <c r="E32" s="26"/>
      <c r="F32" s="26"/>
      <c r="G32" s="25"/>
      <c r="H32" s="26"/>
    </row>
    <row r="33" spans="1:8" ht="17.399999999999999" x14ac:dyDescent="0.3">
      <c r="A33" s="116" t="s">
        <v>53</v>
      </c>
      <c r="B33" s="116"/>
      <c r="C33" s="116"/>
      <c r="D33" s="116"/>
      <c r="E33" s="116"/>
      <c r="F33" s="116"/>
      <c r="G33" s="25"/>
      <c r="H33" s="26"/>
    </row>
    <row r="34" spans="1:8" x14ac:dyDescent="0.3">
      <c r="A34" s="117" t="s">
        <v>54</v>
      </c>
      <c r="B34" s="118"/>
      <c r="C34" s="118"/>
      <c r="D34" s="118"/>
      <c r="E34" s="118"/>
      <c r="F34" s="118"/>
      <c r="G34" s="25"/>
      <c r="H34" s="26"/>
    </row>
    <row r="35" spans="1:8" x14ac:dyDescent="0.3">
      <c r="A35" s="103" t="s">
        <v>55</v>
      </c>
      <c r="B35" s="103"/>
      <c r="C35" s="103"/>
      <c r="D35" s="103"/>
      <c r="E35" s="103"/>
      <c r="F35" s="56">
        <v>1475.0677093614547</v>
      </c>
      <c r="G35" s="25"/>
      <c r="H35" s="26"/>
    </row>
    <row r="36" spans="1:8" x14ac:dyDescent="0.3">
      <c r="A36" s="103" t="s">
        <v>56</v>
      </c>
      <c r="B36" s="103"/>
      <c r="C36" s="103"/>
      <c r="D36" s="103"/>
      <c r="E36" s="103"/>
      <c r="F36" s="56">
        <v>2700.8125123374521</v>
      </c>
      <c r="G36" s="25"/>
      <c r="H36" s="26"/>
    </row>
    <row r="37" spans="1:8" x14ac:dyDescent="0.3">
      <c r="A37" s="103" t="s">
        <v>57</v>
      </c>
      <c r="B37" s="103"/>
      <c r="C37" s="103"/>
      <c r="D37" s="103"/>
      <c r="E37" s="103"/>
      <c r="F37" s="56">
        <v>17700.812512337452</v>
      </c>
      <c r="G37" s="25"/>
      <c r="H37" s="57"/>
    </row>
    <row r="38" spans="1:8" x14ac:dyDescent="0.3">
      <c r="A38" s="103" t="s">
        <v>58</v>
      </c>
      <c r="B38" s="103"/>
      <c r="C38" s="103"/>
      <c r="D38" s="103"/>
      <c r="E38" s="103"/>
      <c r="F38" s="58">
        <v>0.36956163048744206</v>
      </c>
      <c r="G38" s="25"/>
      <c r="H38" s="26"/>
    </row>
    <row r="39" spans="1:8" x14ac:dyDescent="0.3">
      <c r="A39" s="59"/>
      <c r="B39" s="60" t="s">
        <v>59</v>
      </c>
      <c r="C39" s="61">
        <v>44951</v>
      </c>
      <c r="D39" s="59"/>
      <c r="E39" s="59"/>
      <c r="F39" s="59"/>
      <c r="G39" s="39"/>
      <c r="H39" s="39"/>
    </row>
    <row r="40" spans="1:8" ht="86.4" x14ac:dyDescent="0.3">
      <c r="A40" s="114" t="s">
        <v>60</v>
      </c>
      <c r="B40" s="114"/>
      <c r="C40" s="62" t="s">
        <v>55</v>
      </c>
      <c r="D40" s="62" t="s">
        <v>61</v>
      </c>
      <c r="E40" s="62" t="s">
        <v>62</v>
      </c>
      <c r="F40" s="62" t="s">
        <v>63</v>
      </c>
      <c r="G40" s="62" t="s">
        <v>33</v>
      </c>
      <c r="H40" s="62" t="s">
        <v>64</v>
      </c>
    </row>
    <row r="41" spans="1:8" x14ac:dyDescent="0.3">
      <c r="A41" s="63" t="s">
        <v>65</v>
      </c>
      <c r="B41" s="64">
        <v>44951</v>
      </c>
      <c r="C41" s="65">
        <v>-15000</v>
      </c>
      <c r="D41" s="66">
        <v>15000</v>
      </c>
      <c r="E41" s="67" t="s">
        <v>66</v>
      </c>
      <c r="F41" s="67" t="s">
        <v>66</v>
      </c>
      <c r="G41" s="66">
        <v>0</v>
      </c>
      <c r="H41" s="66">
        <v>0</v>
      </c>
    </row>
    <row r="42" spans="1:8" x14ac:dyDescent="0.3">
      <c r="A42" s="68">
        <v>1</v>
      </c>
      <c r="B42" s="69">
        <v>44982</v>
      </c>
      <c r="C42" s="70">
        <v>1475.0677093614547</v>
      </c>
      <c r="D42" s="70">
        <v>1474.9427093614547</v>
      </c>
      <c r="E42" s="70">
        <v>0.125</v>
      </c>
      <c r="F42" s="70">
        <v>0</v>
      </c>
      <c r="G42" s="71" t="s">
        <v>66</v>
      </c>
      <c r="H42" s="71" t="s">
        <v>66</v>
      </c>
    </row>
    <row r="43" spans="1:8" x14ac:dyDescent="0.3">
      <c r="A43" s="68">
        <v>2</v>
      </c>
      <c r="B43" s="69">
        <v>45010</v>
      </c>
      <c r="C43" s="70">
        <v>1475.0677093614547</v>
      </c>
      <c r="D43" s="70">
        <v>1474.9550005506994</v>
      </c>
      <c r="E43" s="72">
        <v>0.11270881075532123</v>
      </c>
      <c r="F43" s="70">
        <v>0</v>
      </c>
      <c r="G43" s="71" t="s">
        <v>66</v>
      </c>
      <c r="H43" s="71" t="s">
        <v>66</v>
      </c>
    </row>
    <row r="44" spans="1:8" x14ac:dyDescent="0.3">
      <c r="A44" s="68">
        <v>3</v>
      </c>
      <c r="B44" s="69">
        <v>45041</v>
      </c>
      <c r="C44" s="70">
        <v>1475.0677093614547</v>
      </c>
      <c r="D44" s="70">
        <v>1474.9672918423707</v>
      </c>
      <c r="E44" s="72">
        <v>0.10041751908406539</v>
      </c>
      <c r="F44" s="70">
        <v>0</v>
      </c>
      <c r="G44" s="71" t="s">
        <v>66</v>
      </c>
      <c r="H44" s="71" t="s">
        <v>66</v>
      </c>
    </row>
    <row r="45" spans="1:8" x14ac:dyDescent="0.3">
      <c r="A45" s="68">
        <v>4</v>
      </c>
      <c r="B45" s="69">
        <v>45071</v>
      </c>
      <c r="C45" s="70">
        <v>1475.0677093614547</v>
      </c>
      <c r="D45" s="70">
        <v>1474.9795832364694</v>
      </c>
      <c r="E45" s="72">
        <v>8.8126124985378973E-2</v>
      </c>
      <c r="F45" s="70">
        <v>0</v>
      </c>
      <c r="G45" s="71" t="s">
        <v>66</v>
      </c>
      <c r="H45" s="71" t="s">
        <v>66</v>
      </c>
    </row>
    <row r="46" spans="1:8" x14ac:dyDescent="0.3">
      <c r="A46" s="68">
        <v>5</v>
      </c>
      <c r="B46" s="69">
        <v>45102</v>
      </c>
      <c r="C46" s="70">
        <v>1475.0677093614547</v>
      </c>
      <c r="D46" s="70">
        <v>1474.9918747329964</v>
      </c>
      <c r="E46" s="72">
        <v>7.5834628458408396E-2</v>
      </c>
      <c r="F46" s="70">
        <v>0</v>
      </c>
      <c r="G46" s="71" t="s">
        <v>66</v>
      </c>
      <c r="H46" s="71" t="s">
        <v>66</v>
      </c>
    </row>
    <row r="47" spans="1:8" x14ac:dyDescent="0.3">
      <c r="A47" s="68">
        <v>6</v>
      </c>
      <c r="B47" s="69">
        <v>45132</v>
      </c>
      <c r="C47" s="70">
        <v>1475.0677093614547</v>
      </c>
      <c r="D47" s="70">
        <v>1475.0041663319523</v>
      </c>
      <c r="E47" s="72">
        <v>6.3543029502300091E-2</v>
      </c>
      <c r="F47" s="70">
        <v>0</v>
      </c>
      <c r="G47" s="71" t="s">
        <v>66</v>
      </c>
      <c r="H47" s="71" t="s">
        <v>66</v>
      </c>
    </row>
    <row r="48" spans="1:8" x14ac:dyDescent="0.3">
      <c r="A48" s="68">
        <v>7</v>
      </c>
      <c r="B48" s="69">
        <v>45163</v>
      </c>
      <c r="C48" s="70">
        <v>1475.0677093614547</v>
      </c>
      <c r="D48" s="70">
        <v>1025.0164580333385</v>
      </c>
      <c r="E48" s="72">
        <v>5.1251328116200486E-2</v>
      </c>
      <c r="F48" s="70">
        <v>450</v>
      </c>
      <c r="G48" s="71" t="s">
        <v>66</v>
      </c>
      <c r="H48" s="71" t="s">
        <v>66</v>
      </c>
    </row>
    <row r="49" spans="1:8" x14ac:dyDescent="0.3">
      <c r="A49" s="68">
        <v>8</v>
      </c>
      <c r="B49" s="69">
        <v>45194</v>
      </c>
      <c r="C49" s="70">
        <v>1475.0677093614547</v>
      </c>
      <c r="D49" s="70">
        <v>1025.0249998371555</v>
      </c>
      <c r="E49" s="72">
        <v>4.2709524299256001E-2</v>
      </c>
      <c r="F49" s="70">
        <v>450</v>
      </c>
      <c r="G49" s="71" t="s">
        <v>66</v>
      </c>
      <c r="H49" s="71" t="s">
        <v>66</v>
      </c>
    </row>
    <row r="50" spans="1:8" x14ac:dyDescent="0.3">
      <c r="A50" s="68">
        <v>9</v>
      </c>
      <c r="B50" s="69">
        <v>45224</v>
      </c>
      <c r="C50" s="70">
        <v>1475.0677093614547</v>
      </c>
      <c r="D50" s="70">
        <v>1025.0335417121541</v>
      </c>
      <c r="E50" s="72">
        <v>3.4167649300613036E-2</v>
      </c>
      <c r="F50" s="70">
        <v>450</v>
      </c>
      <c r="G50" s="71" t="s">
        <v>66</v>
      </c>
      <c r="H50" s="71" t="s">
        <v>66</v>
      </c>
    </row>
    <row r="51" spans="1:8" x14ac:dyDescent="0.3">
      <c r="A51" s="68">
        <v>10</v>
      </c>
      <c r="B51" s="69">
        <v>45255</v>
      </c>
      <c r="C51" s="70">
        <v>1475.0677093614547</v>
      </c>
      <c r="D51" s="70">
        <v>1025.0420836583351</v>
      </c>
      <c r="E51" s="72">
        <v>2.5625703119678416E-2</v>
      </c>
      <c r="F51" s="70">
        <v>450</v>
      </c>
      <c r="G51" s="71" t="s">
        <v>66</v>
      </c>
      <c r="H51" s="71" t="s">
        <v>66</v>
      </c>
    </row>
    <row r="52" spans="1:8" x14ac:dyDescent="0.3">
      <c r="A52" s="68">
        <v>11</v>
      </c>
      <c r="B52" s="69">
        <v>45285</v>
      </c>
      <c r="C52" s="70">
        <v>1475.0677093614547</v>
      </c>
      <c r="D52" s="70">
        <v>1025.0506256756989</v>
      </c>
      <c r="E52" s="72">
        <v>1.7083685755858953E-2</v>
      </c>
      <c r="F52" s="70">
        <v>450</v>
      </c>
      <c r="G52" s="71" t="s">
        <v>66</v>
      </c>
      <c r="H52" s="71" t="s">
        <v>66</v>
      </c>
    </row>
    <row r="53" spans="1:8" x14ac:dyDescent="0.3">
      <c r="A53" s="68">
        <v>12</v>
      </c>
      <c r="B53" s="69">
        <v>45316</v>
      </c>
      <c r="C53" s="70">
        <v>1475.0677093614547</v>
      </c>
      <c r="D53" s="70">
        <v>1025.0591677642462</v>
      </c>
      <c r="E53" s="72">
        <v>8.5415972085614612E-3</v>
      </c>
      <c r="F53" s="70">
        <v>450</v>
      </c>
      <c r="G53" s="71" t="s">
        <v>66</v>
      </c>
      <c r="H53" s="71" t="s">
        <v>66</v>
      </c>
    </row>
    <row r="54" spans="1:8" x14ac:dyDescent="0.3">
      <c r="A54" s="68">
        <v>13</v>
      </c>
      <c r="B54" s="69">
        <v>45347</v>
      </c>
      <c r="C54" s="70">
        <v>0</v>
      </c>
      <c r="D54" s="70">
        <v>0</v>
      </c>
      <c r="E54" s="72">
        <v>0</v>
      </c>
      <c r="F54" s="70">
        <v>0</v>
      </c>
      <c r="G54" s="71" t="s">
        <v>66</v>
      </c>
      <c r="H54" s="71" t="s">
        <v>66</v>
      </c>
    </row>
    <row r="55" spans="1:8" x14ac:dyDescent="0.3">
      <c r="A55" s="68">
        <v>14</v>
      </c>
      <c r="B55" s="69">
        <v>45376</v>
      </c>
      <c r="C55" s="70">
        <v>0</v>
      </c>
      <c r="D55" s="70">
        <v>0</v>
      </c>
      <c r="E55" s="72">
        <v>0</v>
      </c>
      <c r="F55" s="70">
        <v>0</v>
      </c>
      <c r="G55" s="71" t="s">
        <v>66</v>
      </c>
      <c r="H55" s="71" t="s">
        <v>66</v>
      </c>
    </row>
    <row r="56" spans="1:8" x14ac:dyDescent="0.3">
      <c r="A56" s="68">
        <v>15</v>
      </c>
      <c r="B56" s="69">
        <v>45407</v>
      </c>
      <c r="C56" s="70">
        <v>0</v>
      </c>
      <c r="D56" s="70">
        <v>0</v>
      </c>
      <c r="E56" s="72">
        <v>0</v>
      </c>
      <c r="F56" s="70">
        <v>0</v>
      </c>
      <c r="G56" s="71" t="s">
        <v>66</v>
      </c>
      <c r="H56" s="71" t="s">
        <v>66</v>
      </c>
    </row>
    <row r="57" spans="1:8" x14ac:dyDescent="0.3">
      <c r="A57" s="68">
        <v>16</v>
      </c>
      <c r="B57" s="69">
        <v>45437</v>
      </c>
      <c r="C57" s="70">
        <v>0</v>
      </c>
      <c r="D57" s="70">
        <v>0</v>
      </c>
      <c r="E57" s="72">
        <v>0</v>
      </c>
      <c r="F57" s="70">
        <v>0</v>
      </c>
      <c r="G57" s="71" t="s">
        <v>66</v>
      </c>
      <c r="H57" s="71" t="s">
        <v>66</v>
      </c>
    </row>
    <row r="58" spans="1:8" x14ac:dyDescent="0.3">
      <c r="A58" s="68">
        <v>17</v>
      </c>
      <c r="B58" s="69">
        <v>45468</v>
      </c>
      <c r="C58" s="70">
        <v>0</v>
      </c>
      <c r="D58" s="70">
        <v>0</v>
      </c>
      <c r="E58" s="72">
        <v>0</v>
      </c>
      <c r="F58" s="70">
        <v>0</v>
      </c>
      <c r="G58" s="71" t="s">
        <v>66</v>
      </c>
      <c r="H58" s="71" t="s">
        <v>66</v>
      </c>
    </row>
    <row r="59" spans="1:8" x14ac:dyDescent="0.3">
      <c r="A59" s="68">
        <v>18</v>
      </c>
      <c r="B59" s="69">
        <v>45498</v>
      </c>
      <c r="C59" s="70">
        <v>0</v>
      </c>
      <c r="D59" s="70">
        <v>0</v>
      </c>
      <c r="E59" s="72">
        <v>0</v>
      </c>
      <c r="F59" s="70">
        <v>0</v>
      </c>
      <c r="G59" s="71" t="s">
        <v>66</v>
      </c>
      <c r="H59" s="71" t="s">
        <v>66</v>
      </c>
    </row>
    <row r="60" spans="1:8" x14ac:dyDescent="0.3">
      <c r="A60" s="68">
        <v>19</v>
      </c>
      <c r="B60" s="69">
        <v>45529</v>
      </c>
      <c r="C60" s="70">
        <v>0</v>
      </c>
      <c r="D60" s="70">
        <v>0</v>
      </c>
      <c r="E60" s="72">
        <v>0</v>
      </c>
      <c r="F60" s="70">
        <v>0</v>
      </c>
      <c r="G60" s="71" t="s">
        <v>66</v>
      </c>
      <c r="H60" s="71" t="s">
        <v>66</v>
      </c>
    </row>
    <row r="61" spans="1:8" x14ac:dyDescent="0.3">
      <c r="A61" s="68">
        <v>20</v>
      </c>
      <c r="B61" s="69">
        <v>45560</v>
      </c>
      <c r="C61" s="70">
        <v>0</v>
      </c>
      <c r="D61" s="70">
        <v>0</v>
      </c>
      <c r="E61" s="72">
        <v>0</v>
      </c>
      <c r="F61" s="70">
        <v>0</v>
      </c>
      <c r="G61" s="71" t="s">
        <v>66</v>
      </c>
      <c r="H61" s="71" t="s">
        <v>66</v>
      </c>
    </row>
    <row r="62" spans="1:8" x14ac:dyDescent="0.3">
      <c r="A62" s="68">
        <v>21</v>
      </c>
      <c r="B62" s="69">
        <v>45590</v>
      </c>
      <c r="C62" s="70">
        <v>0</v>
      </c>
      <c r="D62" s="70">
        <v>0</v>
      </c>
      <c r="E62" s="72">
        <v>0</v>
      </c>
      <c r="F62" s="70">
        <v>0</v>
      </c>
      <c r="G62" s="71" t="s">
        <v>66</v>
      </c>
      <c r="H62" s="71" t="s">
        <v>66</v>
      </c>
    </row>
    <row r="63" spans="1:8" x14ac:dyDescent="0.3">
      <c r="A63" s="68">
        <v>22</v>
      </c>
      <c r="B63" s="69">
        <v>45621</v>
      </c>
      <c r="C63" s="70">
        <v>0</v>
      </c>
      <c r="D63" s="70">
        <v>0</v>
      </c>
      <c r="E63" s="72">
        <v>0</v>
      </c>
      <c r="F63" s="70">
        <v>0</v>
      </c>
      <c r="G63" s="71" t="s">
        <v>66</v>
      </c>
      <c r="H63" s="71" t="s">
        <v>66</v>
      </c>
    </row>
    <row r="64" spans="1:8" x14ac:dyDescent="0.3">
      <c r="A64" s="68">
        <v>23</v>
      </c>
      <c r="B64" s="69">
        <v>45651</v>
      </c>
      <c r="C64" s="70">
        <v>0</v>
      </c>
      <c r="D64" s="70">
        <v>0</v>
      </c>
      <c r="E64" s="72">
        <v>0</v>
      </c>
      <c r="F64" s="70">
        <v>0</v>
      </c>
      <c r="G64" s="71" t="s">
        <v>66</v>
      </c>
      <c r="H64" s="71" t="s">
        <v>66</v>
      </c>
    </row>
    <row r="65" spans="1:8" x14ac:dyDescent="0.3">
      <c r="A65" s="68">
        <v>24</v>
      </c>
      <c r="B65" s="69">
        <v>45682</v>
      </c>
      <c r="C65" s="70">
        <v>0</v>
      </c>
      <c r="D65" s="70">
        <v>0</v>
      </c>
      <c r="E65" s="72">
        <v>0</v>
      </c>
      <c r="F65" s="70">
        <v>0</v>
      </c>
      <c r="G65" s="71" t="s">
        <v>66</v>
      </c>
      <c r="H65" s="71" t="s">
        <v>66</v>
      </c>
    </row>
    <row r="66" spans="1:8" x14ac:dyDescent="0.3">
      <c r="A66" s="68">
        <v>25</v>
      </c>
      <c r="B66" s="69">
        <v>42139</v>
      </c>
      <c r="C66" s="70">
        <v>0</v>
      </c>
      <c r="D66" s="70">
        <v>0</v>
      </c>
      <c r="E66" s="72">
        <v>0</v>
      </c>
      <c r="F66" s="70">
        <v>0</v>
      </c>
      <c r="G66" s="70"/>
      <c r="H66" s="70"/>
    </row>
    <row r="67" spans="1:8" x14ac:dyDescent="0.3">
      <c r="A67" s="68">
        <v>26</v>
      </c>
      <c r="B67" s="69">
        <v>42170</v>
      </c>
      <c r="C67" s="70">
        <v>0</v>
      </c>
      <c r="D67" s="70">
        <v>0</v>
      </c>
      <c r="E67" s="72">
        <v>0</v>
      </c>
      <c r="F67" s="70">
        <v>0</v>
      </c>
      <c r="G67" s="70"/>
      <c r="H67" s="70"/>
    </row>
    <row r="68" spans="1:8" x14ac:dyDescent="0.3">
      <c r="A68" s="68">
        <v>27</v>
      </c>
      <c r="B68" s="69">
        <v>42200</v>
      </c>
      <c r="C68" s="70">
        <v>0</v>
      </c>
      <c r="D68" s="70">
        <v>0</v>
      </c>
      <c r="E68" s="72">
        <v>0</v>
      </c>
      <c r="F68" s="70">
        <v>0</v>
      </c>
      <c r="G68" s="70"/>
      <c r="H68" s="70"/>
    </row>
    <row r="69" spans="1:8" x14ac:dyDescent="0.3">
      <c r="A69" s="68">
        <v>28</v>
      </c>
      <c r="B69" s="69">
        <v>42231</v>
      </c>
      <c r="C69" s="70">
        <v>0</v>
      </c>
      <c r="D69" s="70">
        <v>0</v>
      </c>
      <c r="E69" s="72">
        <v>0</v>
      </c>
      <c r="F69" s="70">
        <v>0</v>
      </c>
      <c r="G69" s="70"/>
      <c r="H69" s="70"/>
    </row>
    <row r="70" spans="1:8" x14ac:dyDescent="0.3">
      <c r="A70" s="68">
        <v>29</v>
      </c>
      <c r="B70" s="69">
        <v>42262</v>
      </c>
      <c r="C70" s="70">
        <v>0</v>
      </c>
      <c r="D70" s="70">
        <v>0</v>
      </c>
      <c r="E70" s="72">
        <v>0</v>
      </c>
      <c r="F70" s="70">
        <v>0</v>
      </c>
      <c r="G70" s="70"/>
      <c r="H70" s="70"/>
    </row>
    <row r="71" spans="1:8" x14ac:dyDescent="0.3">
      <c r="A71" s="68">
        <v>30</v>
      </c>
      <c r="B71" s="69">
        <v>42292</v>
      </c>
      <c r="C71" s="70">
        <v>0</v>
      </c>
      <c r="D71" s="70">
        <v>0</v>
      </c>
      <c r="E71" s="72">
        <v>0</v>
      </c>
      <c r="F71" s="70">
        <v>0</v>
      </c>
      <c r="G71" s="70"/>
      <c r="H71" s="70"/>
    </row>
    <row r="72" spans="1:8" x14ac:dyDescent="0.3">
      <c r="A72" s="68">
        <v>31</v>
      </c>
      <c r="B72" s="69">
        <v>42323</v>
      </c>
      <c r="C72" s="70">
        <v>0</v>
      </c>
      <c r="D72" s="70">
        <v>0</v>
      </c>
      <c r="E72" s="72">
        <v>0</v>
      </c>
      <c r="F72" s="70">
        <v>0</v>
      </c>
      <c r="G72" s="70"/>
      <c r="H72" s="70"/>
    </row>
    <row r="73" spans="1:8" x14ac:dyDescent="0.3">
      <c r="A73" s="68">
        <v>32</v>
      </c>
      <c r="B73" s="69">
        <v>42353</v>
      </c>
      <c r="C73" s="70">
        <v>0</v>
      </c>
      <c r="D73" s="70">
        <v>0</v>
      </c>
      <c r="E73" s="72">
        <v>0</v>
      </c>
      <c r="F73" s="70">
        <v>0</v>
      </c>
      <c r="G73" s="70"/>
      <c r="H73" s="70"/>
    </row>
    <row r="74" spans="1:8" ht="16.2" x14ac:dyDescent="0.35">
      <c r="A74" s="115" t="s">
        <v>67</v>
      </c>
      <c r="B74" s="115"/>
      <c r="C74" s="73">
        <v>17700.812512337452</v>
      </c>
      <c r="D74" s="73">
        <v>15000</v>
      </c>
      <c r="E74" s="74">
        <v>0.74500960058564236</v>
      </c>
      <c r="F74" s="74">
        <v>2700</v>
      </c>
      <c r="G74" s="74">
        <v>0</v>
      </c>
      <c r="H74" s="74">
        <v>0</v>
      </c>
    </row>
  </sheetData>
  <protectedRanges>
    <protectedRange password="CF7A" sqref="F17" name="Диапазон1"/>
    <protectedRange password="CF7A" sqref="F18:F19" name="Диапазон1_1"/>
    <protectedRange password="CF7A" sqref="F29:F31" name="Диапазон1_2"/>
  </protectedRanges>
  <mergeCells count="27">
    <mergeCell ref="A38:E38"/>
    <mergeCell ref="A40:B40"/>
    <mergeCell ref="A74:B74"/>
    <mergeCell ref="A31:E31"/>
    <mergeCell ref="A33:F33"/>
    <mergeCell ref="A34:F34"/>
    <mergeCell ref="A35:E35"/>
    <mergeCell ref="A36:E36"/>
    <mergeCell ref="A37:E37"/>
    <mergeCell ref="A30:E30"/>
    <mergeCell ref="A7:D7"/>
    <mergeCell ref="A8:D8"/>
    <mergeCell ref="A9:D9"/>
    <mergeCell ref="A10:D10"/>
    <mergeCell ref="A12:F12"/>
    <mergeCell ref="A13:F13"/>
    <mergeCell ref="A14:F14"/>
    <mergeCell ref="A20:E20"/>
    <mergeCell ref="A21:E21"/>
    <mergeCell ref="A27:E27"/>
    <mergeCell ref="A29:E29"/>
    <mergeCell ref="A6:D6"/>
    <mergeCell ref="A1:D1"/>
    <mergeCell ref="A2:D2"/>
    <mergeCell ref="A3:D3"/>
    <mergeCell ref="A4:D4"/>
    <mergeCell ref="A5:D5"/>
  </mergeCells>
  <dataValidations count="1">
    <dataValidation type="custom" operator="equal" allowBlank="1" showInputMessage="1" showErrorMessage="1" sqref="E22 F21" xr:uid="{0C068B30-D6B8-4CF4-9B5E-3A0D7F7F02A5}">
      <formula1>0.0001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T15"/>
  <sheetViews>
    <sheetView workbookViewId="0">
      <selection activeCell="C29" sqref="C29"/>
    </sheetView>
  </sheetViews>
  <sheetFormatPr defaultColWidth="9.109375" defaultRowHeight="13.8" x14ac:dyDescent="0.25"/>
  <cols>
    <col min="1" max="1" width="18.5546875" style="1" bestFit="1" customWidth="1"/>
    <col min="2" max="2" width="1.88671875" style="1" customWidth="1"/>
    <col min="3" max="3" width="16.6640625" style="1" customWidth="1"/>
    <col min="4" max="4" width="1.88671875" style="1" customWidth="1"/>
    <col min="5" max="5" width="21.33203125" style="1" customWidth="1"/>
    <col min="6" max="6" width="1.6640625" style="1" customWidth="1"/>
    <col min="7" max="7" width="10.88671875" style="1" customWidth="1"/>
    <col min="8" max="8" width="1.88671875" style="1" customWidth="1"/>
    <col min="9" max="9" width="9.5546875" style="1" bestFit="1" customWidth="1"/>
    <col min="10" max="10" width="1.88671875" style="1" customWidth="1"/>
    <col min="11" max="11" width="9.5546875" style="1" customWidth="1"/>
    <col min="12" max="12" width="9.109375" style="1"/>
    <col min="13" max="13" width="18.5546875" style="1" bestFit="1" customWidth="1"/>
    <col min="14" max="14" width="11.5546875" style="1" bestFit="1" customWidth="1"/>
    <col min="15" max="15" width="11.109375" style="1" customWidth="1"/>
    <col min="16" max="16" width="10.44140625" style="1" bestFit="1" customWidth="1"/>
    <col min="17" max="16384" width="9.109375" style="1"/>
  </cols>
  <sheetData>
    <row r="1" spans="1:20" x14ac:dyDescent="0.25">
      <c r="A1" s="1">
        <v>3</v>
      </c>
      <c r="B1" s="6"/>
      <c r="D1" s="6"/>
      <c r="E1" s="1">
        <v>1</v>
      </c>
      <c r="F1" s="6"/>
      <c r="H1" s="6"/>
      <c r="J1" s="6"/>
    </row>
    <row r="2" spans="1:20" x14ac:dyDescent="0.25">
      <c r="A2" s="1">
        <v>20000</v>
      </c>
      <c r="B2" s="6"/>
      <c r="D2" s="6"/>
      <c r="F2" s="6"/>
      <c r="H2" s="6"/>
      <c r="J2" s="6"/>
    </row>
    <row r="3" spans="1:20" x14ac:dyDescent="0.25">
      <c r="A3" s="2" t="s">
        <v>3</v>
      </c>
      <c r="B3" s="6"/>
      <c r="D3" s="6"/>
      <c r="E3" s="1" t="s">
        <v>1</v>
      </c>
      <c r="F3" s="6"/>
      <c r="H3" s="6"/>
      <c r="J3" s="6"/>
      <c r="N3" s="12" t="s">
        <v>6</v>
      </c>
      <c r="O3" s="12" t="s">
        <v>7</v>
      </c>
      <c r="P3" s="12" t="s">
        <v>8</v>
      </c>
      <c r="Q3" s="12" t="s">
        <v>4</v>
      </c>
      <c r="R3" s="1" t="s">
        <v>16</v>
      </c>
      <c r="S3" s="1" t="s">
        <v>15</v>
      </c>
    </row>
    <row r="4" spans="1:20" x14ac:dyDescent="0.25">
      <c r="A4" s="15">
        <v>5000</v>
      </c>
      <c r="B4" s="6"/>
      <c r="D4" s="6"/>
      <c r="E4" s="1">
        <v>1</v>
      </c>
      <c r="F4" s="6"/>
      <c r="G4" s="11"/>
      <c r="H4" s="6"/>
      <c r="I4" s="13"/>
      <c r="J4" s="6"/>
      <c r="L4" s="1">
        <v>1</v>
      </c>
      <c r="M4" s="15">
        <v>5000</v>
      </c>
      <c r="N4" s="7">
        <v>1E-4</v>
      </c>
      <c r="O4" s="7"/>
      <c r="P4" s="21">
        <v>100</v>
      </c>
      <c r="Q4" s="11">
        <v>0</v>
      </c>
      <c r="R4" s="1">
        <v>0</v>
      </c>
      <c r="S4" s="1">
        <v>0</v>
      </c>
      <c r="T4" s="1">
        <v>100</v>
      </c>
    </row>
    <row r="5" spans="1:20" x14ac:dyDescent="0.25">
      <c r="A5" s="15">
        <v>10000</v>
      </c>
      <c r="B5" s="6"/>
      <c r="D5" s="6"/>
      <c r="E5" s="1">
        <v>2</v>
      </c>
      <c r="F5" s="6"/>
      <c r="H5" s="6"/>
      <c r="J5" s="6"/>
      <c r="L5" s="1">
        <v>2</v>
      </c>
      <c r="M5" s="15">
        <v>10000</v>
      </c>
      <c r="N5" s="10">
        <v>1E-4</v>
      </c>
      <c r="O5" s="7"/>
      <c r="P5" s="21">
        <v>100</v>
      </c>
      <c r="Q5" s="11">
        <v>0</v>
      </c>
      <c r="R5" s="1">
        <v>0</v>
      </c>
      <c r="S5" s="1">
        <v>0</v>
      </c>
      <c r="T5" s="1">
        <v>100</v>
      </c>
    </row>
    <row r="6" spans="1:20" x14ac:dyDescent="0.25">
      <c r="A6" s="15">
        <v>20000</v>
      </c>
      <c r="B6" s="6"/>
      <c r="D6" s="6"/>
      <c r="E6" s="1">
        <v>3</v>
      </c>
      <c r="F6" s="6"/>
      <c r="H6" s="6"/>
      <c r="J6" s="6"/>
      <c r="L6" s="1">
        <v>3</v>
      </c>
      <c r="M6" s="15">
        <v>15000</v>
      </c>
      <c r="N6" s="10">
        <v>1E-4</v>
      </c>
      <c r="O6" s="7"/>
      <c r="P6" s="22">
        <v>100</v>
      </c>
      <c r="Q6" s="8">
        <v>0</v>
      </c>
      <c r="R6" s="1">
        <v>0</v>
      </c>
      <c r="S6" s="1">
        <v>0</v>
      </c>
      <c r="T6" s="1">
        <v>100</v>
      </c>
    </row>
    <row r="7" spans="1:20" x14ac:dyDescent="0.25">
      <c r="B7" s="6"/>
      <c r="D7" s="6"/>
      <c r="E7" s="1">
        <v>4</v>
      </c>
      <c r="F7" s="6"/>
      <c r="H7" s="6"/>
      <c r="J7" s="6"/>
      <c r="N7" s="10"/>
      <c r="O7" s="7"/>
      <c r="P7" s="7"/>
      <c r="Q7" s="8"/>
    </row>
    <row r="8" spans="1:20" x14ac:dyDescent="0.25">
      <c r="B8" s="6"/>
      <c r="D8" s="6"/>
      <c r="E8" s="1">
        <v>5</v>
      </c>
      <c r="F8" s="6"/>
      <c r="H8" s="6"/>
      <c r="J8" s="6"/>
      <c r="N8" s="10"/>
      <c r="O8" s="7"/>
      <c r="P8" s="7"/>
      <c r="Q8" s="8"/>
    </row>
    <row r="9" spans="1:20" x14ac:dyDescent="0.25">
      <c r="B9" s="6"/>
      <c r="D9" s="6"/>
      <c r="E9" s="1">
        <v>6</v>
      </c>
      <c r="F9" s="6"/>
      <c r="H9" s="6"/>
      <c r="J9" s="6"/>
      <c r="N9" s="10"/>
      <c r="O9" s="7"/>
      <c r="P9" s="8"/>
      <c r="Q9" s="11"/>
    </row>
    <row r="10" spans="1:20" x14ac:dyDescent="0.25">
      <c r="B10" s="6"/>
      <c r="D10" s="6"/>
      <c r="E10" s="1">
        <v>7</v>
      </c>
      <c r="F10" s="6"/>
      <c r="H10" s="6"/>
      <c r="J10" s="6"/>
      <c r="N10" s="10"/>
      <c r="O10" s="7"/>
      <c r="P10" s="8"/>
      <c r="Q10" s="11"/>
    </row>
    <row r="11" spans="1:20" x14ac:dyDescent="0.25">
      <c r="B11" s="6"/>
      <c r="D11" s="6"/>
      <c r="E11" s="1">
        <v>8</v>
      </c>
      <c r="F11" s="6"/>
      <c r="H11" s="6"/>
      <c r="J11" s="6"/>
    </row>
    <row r="12" spans="1:20" x14ac:dyDescent="0.25">
      <c r="B12" s="6"/>
      <c r="D12" s="6"/>
      <c r="E12" s="1">
        <v>9</v>
      </c>
      <c r="F12" s="6"/>
      <c r="H12" s="6"/>
      <c r="J12" s="6"/>
    </row>
    <row r="13" spans="1:20" x14ac:dyDescent="0.25">
      <c r="B13" s="6"/>
      <c r="D13" s="6"/>
      <c r="E13" s="1">
        <v>10</v>
      </c>
      <c r="F13" s="6"/>
      <c r="H13" s="6"/>
      <c r="J13" s="6"/>
    </row>
    <row r="14" spans="1:20" x14ac:dyDescent="0.25">
      <c r="B14" s="6"/>
      <c r="D14" s="6"/>
      <c r="E14" s="1">
        <v>11</v>
      </c>
      <c r="F14" s="6"/>
      <c r="H14" s="6"/>
      <c r="J14" s="6"/>
    </row>
    <row r="15" spans="1:20" x14ac:dyDescent="0.25">
      <c r="B15" s="6"/>
      <c r="D15" s="6"/>
      <c r="E15" s="1">
        <v>12</v>
      </c>
      <c r="F15" s="6"/>
      <c r="H15" s="6"/>
      <c r="J15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R31"/>
  <sheetViews>
    <sheetView workbookViewId="0">
      <selection activeCell="R4" sqref="R4"/>
    </sheetView>
  </sheetViews>
  <sheetFormatPr defaultColWidth="9.109375" defaultRowHeight="13.8" x14ac:dyDescent="0.25"/>
  <cols>
    <col min="1" max="1" width="40.33203125" style="1" bestFit="1" customWidth="1"/>
    <col min="2" max="2" width="22" style="1" customWidth="1"/>
    <col min="3" max="5" width="9.109375" style="1"/>
    <col min="6" max="6" width="11.33203125" style="1" bestFit="1" customWidth="1"/>
    <col min="7" max="7" width="11.5546875" style="1" customWidth="1"/>
    <col min="8" max="8" width="11.5546875" style="1" bestFit="1" customWidth="1"/>
    <col min="9" max="9" width="12.109375" style="1" bestFit="1" customWidth="1"/>
    <col min="10" max="10" width="14.88671875" style="1" bestFit="1" customWidth="1"/>
    <col min="11" max="11" width="10.6640625" style="1" bestFit="1" customWidth="1"/>
    <col min="12" max="12" width="13.109375" style="1" bestFit="1" customWidth="1"/>
    <col min="13" max="14" width="9.109375" style="1"/>
    <col min="15" max="15" width="11.33203125" style="1" bestFit="1" customWidth="1"/>
    <col min="16" max="16" width="15.109375" style="1" customWidth="1"/>
    <col min="17" max="17" width="9.109375" style="1"/>
    <col min="18" max="18" width="13" style="1" customWidth="1"/>
    <col min="19" max="16384" width="9.109375" style="1"/>
  </cols>
  <sheetData>
    <row r="2" spans="1:18" x14ac:dyDescent="0.25">
      <c r="A2" s="1" t="s">
        <v>3</v>
      </c>
      <c r="B2" s="16" t="s">
        <v>76</v>
      </c>
      <c r="F2" s="1" t="s">
        <v>18</v>
      </c>
      <c r="G2" s="1" t="s">
        <v>19</v>
      </c>
      <c r="H2" s="1" t="s">
        <v>6</v>
      </c>
      <c r="I2" s="1" t="s">
        <v>20</v>
      </c>
      <c r="J2" s="1" t="s">
        <v>21</v>
      </c>
      <c r="K2" s="1" t="s">
        <v>5</v>
      </c>
      <c r="L2" s="1" t="s">
        <v>22</v>
      </c>
      <c r="M2" s="1" t="s">
        <v>16</v>
      </c>
      <c r="N2" s="1" t="s">
        <v>15</v>
      </c>
      <c r="O2" s="1" t="s">
        <v>23</v>
      </c>
      <c r="P2" s="17">
        <f>-G3</f>
        <v>-1000</v>
      </c>
    </row>
    <row r="3" spans="1:18" x14ac:dyDescent="0.25">
      <c r="F3" s="1">
        <v>1</v>
      </c>
      <c r="G3" s="17">
        <f>B5</f>
        <v>1000</v>
      </c>
      <c r="H3" s="17">
        <f>IF(AND(info!$A$1&lt;&gt;3,info!$C$1=1),IF(OR($B$6=1,$B$6=2),calc!G3*calc!$B$8/12,calc!G3*calc!$B$7/12),calc!G3*calc!$B$7/12)</f>
        <v>8.3333333333333332E-3</v>
      </c>
      <c r="I3" s="17">
        <f>IF($B$2=info!$A$6,G3*$B$9,IF(calc!G3&gt;=20,calc!$B$9,0))</f>
        <v>100</v>
      </c>
      <c r="J3" s="17">
        <v>0</v>
      </c>
      <c r="K3" s="17">
        <f>G3*$B$11</f>
        <v>0</v>
      </c>
      <c r="L3" s="17">
        <f>IF(G3=0,0,IF(F3&gt;$B$6,0,$B$4*$B$12))</f>
        <v>0</v>
      </c>
      <c r="M3" s="17">
        <f>$B$13</f>
        <v>0</v>
      </c>
      <c r="N3" s="17">
        <f>IF(F3&gt;$B$6,0,$B$14)</f>
        <v>0</v>
      </c>
      <c r="O3" s="17">
        <f>IF(OR(F4=0,F4&gt;$B$6),SUM(G3:N3),IF(SUM(G3:N3)&lt;50,SUM(G3:N3),FLOOR(MAX(IF(G3=0,0,($B$5/$B$6+H3+I3+J3+K3+L3+M3+N3)),50),50)))</f>
        <v>1100.0083333333332</v>
      </c>
      <c r="P3" s="17">
        <f>O3</f>
        <v>1100.0083333333332</v>
      </c>
      <c r="R3" s="17">
        <f>$P$3</f>
        <v>1100.0083333333332</v>
      </c>
    </row>
    <row r="4" spans="1:18" x14ac:dyDescent="0.25">
      <c r="A4" s="1" t="s">
        <v>17</v>
      </c>
      <c r="B4" s="15">
        <f>калькулятор!D7</f>
        <v>20000</v>
      </c>
      <c r="F4" s="1">
        <v>2</v>
      </c>
      <c r="G4" s="17">
        <f>IF(OR(F4=0,F4&gt;$B$6),0,G3-(O3-SUM(H3:N3)))</f>
        <v>0</v>
      </c>
      <c r="H4" s="17">
        <f>IF(AND(info!$A$1&lt;&gt;3,info!$C$1=1),IF(OR($B$6=1,$B$6=2),calc!G4*calc!$B$8/12,calc!G4*calc!$B$7/12),calc!G4*calc!$B$7/12)</f>
        <v>0</v>
      </c>
      <c r="I4" s="17">
        <f>IF($B$2=info!$A$6,G4*$B$9,IF(calc!G4&gt;=20,calc!$B$9,0))</f>
        <v>0</v>
      </c>
      <c r="J4" s="17">
        <v>0</v>
      </c>
      <c r="K4" s="17">
        <f t="shared" ref="K4:K14" si="0">G4*$B$11</f>
        <v>0</v>
      </c>
      <c r="L4" s="17">
        <f t="shared" ref="L4:L14" si="1">IF(G4=0,0,IF(F4&gt;$B$6,0,$B$4*$B$12))</f>
        <v>0</v>
      </c>
      <c r="M4" s="17">
        <v>0</v>
      </c>
      <c r="N4" s="17">
        <f>IF(O3&lt;50,0,IF(F4&gt;$B$6,0,$B$14))</f>
        <v>0</v>
      </c>
      <c r="O4" s="17">
        <f t="shared" ref="O4:O14" si="2">IF(OR(F5=0,F5&gt;$B$6),SUM(G4:N4),IF(SUM(G4:N4)&lt;50,SUM(G4:N4),FLOOR(MAX(IF(G4=0,0,($B$5/$B$6+H4+I4+J4+K4+L4+M4+N4)),50),50)))</f>
        <v>0</v>
      </c>
      <c r="P4" s="17">
        <f>O4</f>
        <v>0</v>
      </c>
      <c r="R4" s="17">
        <f t="shared" ref="R4:R14" si="3">$P$3</f>
        <v>1100.0083333333332</v>
      </c>
    </row>
    <row r="5" spans="1:18" x14ac:dyDescent="0.25">
      <c r="A5" s="1" t="s">
        <v>0</v>
      </c>
      <c r="B5" s="15">
        <f>калькулятор!D9</f>
        <v>1000</v>
      </c>
      <c r="F5" s="1">
        <v>3</v>
      </c>
      <c r="G5" s="17">
        <f t="shared" ref="G5:G14" si="4">IF(OR(F5=0,F5&gt;$B$6),0,G4-(O4-SUM(H4:N4)))</f>
        <v>0</v>
      </c>
      <c r="H5" s="17">
        <f>IF(AND(info!$A$1&lt;&gt;3,info!$C$1=1),IF(OR($B$6=1,$B$6=2),calc!G5*calc!$B$8/12,calc!G5*calc!$B$7/12),calc!G5*calc!$B$7/12)</f>
        <v>0</v>
      </c>
      <c r="I5" s="17">
        <f>IF($B$2=info!$A$6,G5*$B$9,IF(calc!G5&gt;=20,calc!$B$9,0))</f>
        <v>0</v>
      </c>
      <c r="J5" s="17">
        <v>0</v>
      </c>
      <c r="K5" s="17">
        <f t="shared" si="0"/>
        <v>0</v>
      </c>
      <c r="L5" s="17">
        <f t="shared" si="1"/>
        <v>0</v>
      </c>
      <c r="M5" s="17">
        <v>0</v>
      </c>
      <c r="N5" s="17">
        <f t="shared" ref="N5:N14" si="5">IF(O4&lt;50,0,IF(F5&gt;$B$6,0,$B$14))</f>
        <v>0</v>
      </c>
      <c r="O5" s="17">
        <f t="shared" si="2"/>
        <v>0</v>
      </c>
      <c r="P5" s="17">
        <f t="shared" ref="P5:P14" si="6">O5</f>
        <v>0</v>
      </c>
      <c r="R5" s="17">
        <f t="shared" si="3"/>
        <v>1100.0083333333332</v>
      </c>
    </row>
    <row r="6" spans="1:18" x14ac:dyDescent="0.25">
      <c r="A6" s="1" t="s">
        <v>1</v>
      </c>
      <c r="B6" s="15">
        <f>калькулятор!D12</f>
        <v>1</v>
      </c>
      <c r="F6" s="1">
        <v>4</v>
      </c>
      <c r="G6" s="17">
        <f t="shared" si="4"/>
        <v>0</v>
      </c>
      <c r="H6" s="17">
        <f>IF(AND(info!$A$1&lt;&gt;3,info!$C$1=1),IF(OR($B$6=1,$B$6=2),calc!G6*calc!$B$8/12,calc!G6*calc!$B$7/12),calc!G6*calc!$B$7/12)</f>
        <v>0</v>
      </c>
      <c r="I6" s="17">
        <f>IF($B$2=info!$A$6,G6*$B$9,IF(calc!G6&gt;=20,calc!$B$9,0))</f>
        <v>0</v>
      </c>
      <c r="J6" s="17">
        <v>0</v>
      </c>
      <c r="K6" s="17">
        <f t="shared" si="0"/>
        <v>0</v>
      </c>
      <c r="L6" s="17">
        <f t="shared" si="1"/>
        <v>0</v>
      </c>
      <c r="M6" s="17">
        <v>0</v>
      </c>
      <c r="N6" s="17">
        <f t="shared" si="5"/>
        <v>0</v>
      </c>
      <c r="O6" s="17">
        <f t="shared" si="2"/>
        <v>0</v>
      </c>
      <c r="P6" s="17">
        <f t="shared" si="6"/>
        <v>0</v>
      </c>
      <c r="R6" s="17">
        <f t="shared" si="3"/>
        <v>1100.0083333333332</v>
      </c>
    </row>
    <row r="7" spans="1:18" x14ac:dyDescent="0.25">
      <c r="A7" s="1" t="s">
        <v>9</v>
      </c>
      <c r="B7" s="10">
        <v>1E-4</v>
      </c>
      <c r="F7" s="1">
        <v>5</v>
      </c>
      <c r="G7" s="17">
        <f t="shared" si="4"/>
        <v>0</v>
      </c>
      <c r="H7" s="17">
        <f>IF(AND(info!$A$1&lt;&gt;3,info!$C$1=1),IF(OR($B$6=1,$B$6=2),calc!G7*calc!$B$8/12,calc!G7*calc!$B$7/12),calc!G7*calc!$B$7/12)</f>
        <v>0</v>
      </c>
      <c r="I7" s="17">
        <f>IF($B$2=info!$A$6,G7*$B$9,IF(calc!G7&gt;=20,calc!$B$9,0))</f>
        <v>0</v>
      </c>
      <c r="J7" s="17">
        <v>0</v>
      </c>
      <c r="K7" s="17">
        <f t="shared" si="0"/>
        <v>0</v>
      </c>
      <c r="L7" s="17">
        <f t="shared" si="1"/>
        <v>0</v>
      </c>
      <c r="M7" s="17">
        <v>0</v>
      </c>
      <c r="N7" s="17">
        <f t="shared" si="5"/>
        <v>0</v>
      </c>
      <c r="O7" s="17">
        <f t="shared" si="2"/>
        <v>0</v>
      </c>
      <c r="P7" s="17">
        <f t="shared" si="6"/>
        <v>0</v>
      </c>
      <c r="R7" s="17">
        <f t="shared" si="3"/>
        <v>1100.0083333333332</v>
      </c>
    </row>
    <row r="8" spans="1:18" x14ac:dyDescent="0.25">
      <c r="A8" s="1" t="s">
        <v>10</v>
      </c>
      <c r="B8" s="10">
        <v>1E-4</v>
      </c>
      <c r="F8" s="1">
        <v>6</v>
      </c>
      <c r="G8" s="17">
        <f t="shared" si="4"/>
        <v>0</v>
      </c>
      <c r="H8" s="17">
        <f>IF(AND(info!$A$1&lt;&gt;3,info!$C$1=1),IF(OR($B$6=1,$B$6=2),calc!G8*calc!$B$8/12,calc!G8*calc!$B$7/12),calc!G8*calc!$B$7/12)</f>
        <v>0</v>
      </c>
      <c r="I8" s="17">
        <f>IF($B$2=info!$A$6,G8*$B$9,IF(calc!G8&gt;=20,calc!$B$9,0))</f>
        <v>0</v>
      </c>
      <c r="J8" s="17">
        <v>0</v>
      </c>
      <c r="K8" s="17">
        <f t="shared" si="0"/>
        <v>0</v>
      </c>
      <c r="L8" s="17">
        <f t="shared" si="1"/>
        <v>0</v>
      </c>
      <c r="M8" s="17">
        <v>0</v>
      </c>
      <c r="N8" s="17">
        <f t="shared" si="5"/>
        <v>0</v>
      </c>
      <c r="O8" s="17">
        <f t="shared" si="2"/>
        <v>0</v>
      </c>
      <c r="P8" s="17">
        <f t="shared" si="6"/>
        <v>0</v>
      </c>
      <c r="R8" s="17">
        <f t="shared" si="3"/>
        <v>1100.0083333333332</v>
      </c>
    </row>
    <row r="9" spans="1:18" x14ac:dyDescent="0.25">
      <c r="A9" s="1" t="s">
        <v>11</v>
      </c>
      <c r="B9" s="1">
        <v>100</v>
      </c>
      <c r="F9" s="1">
        <v>7</v>
      </c>
      <c r="G9" s="17">
        <f t="shared" si="4"/>
        <v>0</v>
      </c>
      <c r="H9" s="17">
        <f>IF(AND(info!$A$1&lt;&gt;3,info!$C$1=1),IF(OR($B$6=1,$B$6=2),calc!G9*calc!$B$8/12,calc!G9*calc!$B$7/12),calc!G9*calc!$B$7/12)</f>
        <v>0</v>
      </c>
      <c r="I9" s="17">
        <f>IF($B$2=info!$A$6,G9*$B$9,IF(calc!G9&gt;=20,calc!$B$9,0))</f>
        <v>0</v>
      </c>
      <c r="J9" s="17">
        <v>0</v>
      </c>
      <c r="K9" s="17">
        <f t="shared" si="0"/>
        <v>0</v>
      </c>
      <c r="L9" s="17">
        <f t="shared" si="1"/>
        <v>0</v>
      </c>
      <c r="M9" s="17">
        <v>0</v>
      </c>
      <c r="N9" s="17">
        <f t="shared" si="5"/>
        <v>0</v>
      </c>
      <c r="O9" s="17">
        <f t="shared" si="2"/>
        <v>0</v>
      </c>
      <c r="P9" s="17">
        <f t="shared" si="6"/>
        <v>0</v>
      </c>
      <c r="R9" s="17">
        <f t="shared" si="3"/>
        <v>1100.0083333333332</v>
      </c>
    </row>
    <row r="10" spans="1:18" x14ac:dyDescent="0.25">
      <c r="A10" s="1" t="s">
        <v>12</v>
      </c>
      <c r="B10" s="8">
        <v>0</v>
      </c>
      <c r="F10" s="1">
        <v>8</v>
      </c>
      <c r="G10" s="17">
        <f t="shared" si="4"/>
        <v>0</v>
      </c>
      <c r="H10" s="17">
        <f>IF(AND(info!$A$1&lt;&gt;3,info!$C$1=1),IF(OR($B$6=1,$B$6=2),calc!G10*calc!$B$8/12,calc!G10*calc!$B$7/12),calc!G10*calc!$B$7/12)</f>
        <v>0</v>
      </c>
      <c r="I10" s="17">
        <f>IF($B$2=info!$A$6,G10*$B$9,IF(calc!G10&gt;=20,calc!$B$9,0))</f>
        <v>0</v>
      </c>
      <c r="J10" s="17">
        <v>0</v>
      </c>
      <c r="K10" s="17">
        <f t="shared" si="0"/>
        <v>0</v>
      </c>
      <c r="L10" s="17">
        <f t="shared" si="1"/>
        <v>0</v>
      </c>
      <c r="M10" s="17">
        <v>0</v>
      </c>
      <c r="N10" s="17">
        <f t="shared" si="5"/>
        <v>0</v>
      </c>
      <c r="O10" s="17">
        <f t="shared" si="2"/>
        <v>0</v>
      </c>
      <c r="P10" s="17">
        <f t="shared" si="6"/>
        <v>0</v>
      </c>
      <c r="R10" s="17">
        <f t="shared" si="3"/>
        <v>1100.0083333333332</v>
      </c>
    </row>
    <row r="11" spans="1:18" x14ac:dyDescent="0.25">
      <c r="A11" s="1" t="s">
        <v>13</v>
      </c>
      <c r="B11" s="8">
        <v>0</v>
      </c>
      <c r="F11" s="1">
        <v>9</v>
      </c>
      <c r="G11" s="17">
        <f t="shared" si="4"/>
        <v>0</v>
      </c>
      <c r="H11" s="17">
        <f>IF(AND(info!$A$1&lt;&gt;3,info!$C$1=1),IF(OR($B$6=1,$B$6=2),calc!G11*calc!$B$8/12,calc!G11*calc!$B$7/12),calc!G11*calc!$B$7/12)</f>
        <v>0</v>
      </c>
      <c r="I11" s="17">
        <f>IF($B$2=info!$A$6,G11*$B$9,IF(calc!G11&gt;=20,calc!$B$9,0))</f>
        <v>0</v>
      </c>
      <c r="J11" s="17">
        <v>0</v>
      </c>
      <c r="K11" s="17">
        <f t="shared" si="0"/>
        <v>0</v>
      </c>
      <c r="L11" s="17">
        <f t="shared" si="1"/>
        <v>0</v>
      </c>
      <c r="M11" s="17">
        <v>0</v>
      </c>
      <c r="N11" s="17">
        <f t="shared" si="5"/>
        <v>0</v>
      </c>
      <c r="O11" s="17">
        <f t="shared" si="2"/>
        <v>0</v>
      </c>
      <c r="P11" s="17">
        <f t="shared" si="6"/>
        <v>0</v>
      </c>
      <c r="R11" s="17">
        <f t="shared" si="3"/>
        <v>1100.0083333333332</v>
      </c>
    </row>
    <row r="12" spans="1:18" x14ac:dyDescent="0.25">
      <c r="A12" s="1" t="s">
        <v>2</v>
      </c>
      <c r="B12" s="9">
        <v>0</v>
      </c>
      <c r="F12" s="1">
        <v>10</v>
      </c>
      <c r="G12" s="17">
        <f t="shared" si="4"/>
        <v>0</v>
      </c>
      <c r="H12" s="17">
        <f>IF(AND(info!$A$1&lt;&gt;3,info!$C$1=1),IF(OR($B$6=1,$B$6=2),calc!G12*calc!$B$8/12,calc!G12*calc!$B$7/12),calc!G12*calc!$B$7/12)</f>
        <v>0</v>
      </c>
      <c r="I12" s="17">
        <f>IF($B$2=info!$A$6,G12*$B$9,IF(calc!G12&gt;=20,calc!$B$9,0))</f>
        <v>0</v>
      </c>
      <c r="J12" s="17">
        <v>0</v>
      </c>
      <c r="K12" s="17">
        <f t="shared" si="0"/>
        <v>0</v>
      </c>
      <c r="L12" s="17">
        <f t="shared" si="1"/>
        <v>0</v>
      </c>
      <c r="M12" s="17">
        <v>0</v>
      </c>
      <c r="N12" s="17">
        <f t="shared" si="5"/>
        <v>0</v>
      </c>
      <c r="O12" s="17">
        <f>IF(OR(F13=0,F13&gt;$B$6),SUM(G12:N12),IF(SUM(G12:N12)&lt;50,SUM(G12:N12),FLOOR(MAX(IF(G12=0,0,($B$5/$B$6+H12+I12+J12+K12+L12+M12+N12)),50),50)))</f>
        <v>0</v>
      </c>
      <c r="P12" s="17">
        <f t="shared" si="6"/>
        <v>0</v>
      </c>
      <c r="R12" s="17">
        <f t="shared" si="3"/>
        <v>1100.0083333333332</v>
      </c>
    </row>
    <row r="13" spans="1:18" x14ac:dyDescent="0.25">
      <c r="A13" s="1" t="s">
        <v>14</v>
      </c>
      <c r="B13" s="1">
        <v>0</v>
      </c>
      <c r="F13" s="1">
        <v>11</v>
      </c>
      <c r="G13" s="17">
        <f t="shared" si="4"/>
        <v>0</v>
      </c>
      <c r="H13" s="17">
        <f>IF(AND(info!$A$1&lt;&gt;3,info!$C$1=1),IF(OR($B$6=1,$B$6=2),calc!G13*calc!$B$8/12,calc!G13*calc!$B$7/12),calc!G13*calc!$B$7/12)</f>
        <v>0</v>
      </c>
      <c r="I13" s="17">
        <f>IF($B$2=info!$A$6,G13*$B$9,IF(calc!G13&gt;=20,calc!$B$9,0))</f>
        <v>0</v>
      </c>
      <c r="J13" s="17">
        <v>0</v>
      </c>
      <c r="K13" s="17">
        <f t="shared" si="0"/>
        <v>0</v>
      </c>
      <c r="L13" s="17">
        <f t="shared" si="1"/>
        <v>0</v>
      </c>
      <c r="M13" s="17">
        <v>0</v>
      </c>
      <c r="N13" s="17">
        <f t="shared" si="5"/>
        <v>0</v>
      </c>
      <c r="O13" s="17">
        <f t="shared" si="2"/>
        <v>0</v>
      </c>
      <c r="P13" s="17">
        <f t="shared" si="6"/>
        <v>0</v>
      </c>
      <c r="R13" s="17">
        <f t="shared" si="3"/>
        <v>1100.0083333333332</v>
      </c>
    </row>
    <row r="14" spans="1:18" x14ac:dyDescent="0.25">
      <c r="A14" s="1" t="s">
        <v>15</v>
      </c>
      <c r="B14" s="14">
        <v>0</v>
      </c>
      <c r="F14" s="1">
        <v>12</v>
      </c>
      <c r="G14" s="17">
        <f t="shared" si="4"/>
        <v>0</v>
      </c>
      <c r="H14" s="17">
        <f>IF(AND(info!$A$1&lt;&gt;3,info!$C$1=1),IF(OR($B$6=1,$B$6=2),calc!G14*calc!$B$8/12,calc!G14*calc!$B$7/12),calc!G14*calc!$B$7/12)</f>
        <v>0</v>
      </c>
      <c r="I14" s="17">
        <f>IF($B$2=info!$A$6,G14*$B$9,IF(calc!G14&gt;=20,calc!$B$9,0))</f>
        <v>0</v>
      </c>
      <c r="J14" s="17">
        <v>0</v>
      </c>
      <c r="K14" s="17">
        <f t="shared" si="0"/>
        <v>0</v>
      </c>
      <c r="L14" s="17">
        <f t="shared" si="1"/>
        <v>0</v>
      </c>
      <c r="M14" s="17">
        <v>0</v>
      </c>
      <c r="N14" s="17">
        <f t="shared" si="5"/>
        <v>0</v>
      </c>
      <c r="O14" s="17">
        <f t="shared" si="2"/>
        <v>0</v>
      </c>
      <c r="P14" s="17">
        <f t="shared" si="6"/>
        <v>0</v>
      </c>
      <c r="R14" s="17">
        <f t="shared" si="3"/>
        <v>1100.0083333333332</v>
      </c>
    </row>
    <row r="15" spans="1:18" x14ac:dyDescent="0.25">
      <c r="A15" s="1" t="s">
        <v>75</v>
      </c>
      <c r="B15" s="12"/>
      <c r="G15" s="17">
        <f>SUM(G3:G14)/(F14-G16)</f>
        <v>1000</v>
      </c>
      <c r="H15" s="17">
        <f t="shared" ref="H15:N15" si="7">SUM(H3:H14)</f>
        <v>8.3333333333333332E-3</v>
      </c>
      <c r="I15" s="17">
        <f t="shared" si="7"/>
        <v>100</v>
      </c>
      <c r="J15" s="17">
        <f t="shared" si="7"/>
        <v>0</v>
      </c>
      <c r="K15" s="17">
        <f t="shared" si="7"/>
        <v>0</v>
      </c>
      <c r="L15" s="17">
        <f t="shared" si="7"/>
        <v>0</v>
      </c>
      <c r="M15" s="17">
        <f t="shared" si="7"/>
        <v>0</v>
      </c>
      <c r="N15" s="17">
        <f t="shared" si="7"/>
        <v>0</v>
      </c>
      <c r="O15" s="17">
        <f>SUM(O3:O14)</f>
        <v>1100.0083333333332</v>
      </c>
    </row>
    <row r="16" spans="1:18" x14ac:dyDescent="0.25">
      <c r="G16" s="1">
        <f>COUNTIF(G3:G14,0)</f>
        <v>11</v>
      </c>
    </row>
    <row r="18" spans="5:16" x14ac:dyDescent="0.25">
      <c r="P18" s="11">
        <f>IRR(P2:P14)*12</f>
        <v>1.2000999999999964</v>
      </c>
    </row>
    <row r="19" spans="5:16" x14ac:dyDescent="0.25">
      <c r="E19" s="7"/>
      <c r="F19" s="81"/>
      <c r="G19" s="15"/>
      <c r="J19" s="1">
        <f>MAX(IF(G4=0,0,($B$5/$B$6+H4+I4+J4+K4+L4+M4+N4)),50)</f>
        <v>50</v>
      </c>
    </row>
    <row r="20" spans="5:16" x14ac:dyDescent="0.25">
      <c r="F20" s="81"/>
      <c r="G20" s="17"/>
    </row>
    <row r="21" spans="5:16" x14ac:dyDescent="0.25">
      <c r="F21" s="81"/>
      <c r="G21" s="17"/>
    </row>
    <row r="22" spans="5:16" x14ac:dyDescent="0.25">
      <c r="F22" s="81"/>
      <c r="G22" s="17"/>
    </row>
    <row r="23" spans="5:16" x14ac:dyDescent="0.25">
      <c r="F23" s="81"/>
      <c r="G23" s="17"/>
      <c r="H23" s="1" t="b">
        <f>AND(info!$A$1&lt;&gt;3,info!$C$1=1)</f>
        <v>0</v>
      </c>
    </row>
    <row r="24" spans="5:16" x14ac:dyDescent="0.25">
      <c r="F24" s="81"/>
      <c r="G24" s="17"/>
    </row>
    <row r="25" spans="5:16" x14ac:dyDescent="0.25">
      <c r="F25" s="81"/>
      <c r="G25" s="17"/>
    </row>
    <row r="26" spans="5:16" x14ac:dyDescent="0.25">
      <c r="F26" s="81"/>
      <c r="G26" s="17"/>
    </row>
    <row r="27" spans="5:16" x14ac:dyDescent="0.25">
      <c r="F27" s="81"/>
      <c r="G27" s="17"/>
    </row>
    <row r="28" spans="5:16" x14ac:dyDescent="0.25">
      <c r="F28" s="81"/>
      <c r="G28" s="17"/>
    </row>
    <row r="29" spans="5:16" x14ac:dyDescent="0.25">
      <c r="F29" s="81"/>
      <c r="G29" s="17"/>
    </row>
    <row r="30" spans="5:16" x14ac:dyDescent="0.25">
      <c r="F30" s="81"/>
      <c r="G30" s="17"/>
    </row>
    <row r="31" spans="5:16" x14ac:dyDescent="0.25">
      <c r="F31" s="81"/>
      <c r="G31" s="1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2B9F-E7F6-4F68-8DE8-0D079C3AD589}">
  <dimension ref="A1:S51"/>
  <sheetViews>
    <sheetView topLeftCell="A19" workbookViewId="0">
      <selection activeCell="D37" sqref="D37"/>
    </sheetView>
  </sheetViews>
  <sheetFormatPr defaultRowHeight="14.4" x14ac:dyDescent="0.3"/>
  <cols>
    <col min="2" max="2" width="12.6640625" customWidth="1"/>
    <col min="4" max="4" width="19.109375" customWidth="1"/>
    <col min="5" max="5" width="12" customWidth="1"/>
    <col min="6" max="6" width="12.109375" customWidth="1"/>
    <col min="7" max="7" width="12.5546875" customWidth="1"/>
    <col min="17" max="17" width="11.88671875" customWidth="1"/>
    <col min="18" max="18" width="12.5546875" customWidth="1"/>
  </cols>
  <sheetData>
    <row r="1" spans="1:19" ht="42" customHeight="1" x14ac:dyDescent="0.3">
      <c r="A1" s="119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82"/>
    </row>
    <row r="2" spans="1:19" x14ac:dyDescent="0.3">
      <c r="A2" t="s">
        <v>0</v>
      </c>
      <c r="C2" s="92">
        <f>калькулятор!D9</f>
        <v>1000</v>
      </c>
      <c r="D2" s="83" t="s">
        <v>83</v>
      </c>
    </row>
    <row r="3" spans="1:19" x14ac:dyDescent="0.3">
      <c r="A3" t="s">
        <v>84</v>
      </c>
      <c r="C3">
        <v>100</v>
      </c>
    </row>
    <row r="4" spans="1:19" x14ac:dyDescent="0.3">
      <c r="A4" t="s">
        <v>10</v>
      </c>
      <c r="C4" s="84">
        <v>1E-4</v>
      </c>
    </row>
    <row r="5" spans="1:19" ht="31.5" customHeight="1" x14ac:dyDescent="0.3">
      <c r="A5" s="120" t="s">
        <v>85</v>
      </c>
      <c r="B5" s="120"/>
      <c r="C5" s="85">
        <v>0.45</v>
      </c>
    </row>
    <row r="6" spans="1:19" ht="15" thickBot="1" x14ac:dyDescent="0.35"/>
    <row r="7" spans="1:19" ht="15" thickBot="1" x14ac:dyDescent="0.35">
      <c r="A7" s="121" t="s">
        <v>86</v>
      </c>
      <c r="B7" s="121" t="s">
        <v>87</v>
      </c>
      <c r="C7" s="121" t="s">
        <v>88</v>
      </c>
      <c r="D7" s="121" t="s">
        <v>89</v>
      </c>
      <c r="E7" s="124" t="s">
        <v>90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  <c r="Q7" s="121" t="s">
        <v>91</v>
      </c>
      <c r="R7" s="121" t="s">
        <v>92</v>
      </c>
    </row>
    <row r="8" spans="1:19" ht="15" thickBot="1" x14ac:dyDescent="0.35">
      <c r="A8" s="122"/>
      <c r="B8" s="122"/>
      <c r="C8" s="122"/>
      <c r="D8" s="122"/>
      <c r="E8" s="121" t="s">
        <v>93</v>
      </c>
      <c r="F8" s="121" t="s">
        <v>94</v>
      </c>
      <c r="G8" s="124" t="s">
        <v>95</v>
      </c>
      <c r="H8" s="125"/>
      <c r="I8" s="125"/>
      <c r="J8" s="125"/>
      <c r="K8" s="125"/>
      <c r="L8" s="125"/>
      <c r="M8" s="125"/>
      <c r="N8" s="125"/>
      <c r="O8" s="125"/>
      <c r="P8" s="126"/>
      <c r="Q8" s="122"/>
      <c r="R8" s="122"/>
    </row>
    <row r="9" spans="1:19" ht="15" thickBot="1" x14ac:dyDescent="0.35">
      <c r="A9" s="122"/>
      <c r="B9" s="122"/>
      <c r="C9" s="122"/>
      <c r="D9" s="122"/>
      <c r="E9" s="122"/>
      <c r="F9" s="122"/>
      <c r="G9" s="124" t="s">
        <v>96</v>
      </c>
      <c r="H9" s="125"/>
      <c r="I9" s="125"/>
      <c r="J9" s="126"/>
      <c r="K9" s="124" t="s">
        <v>97</v>
      </c>
      <c r="L9" s="126"/>
      <c r="M9" s="124" t="s">
        <v>98</v>
      </c>
      <c r="N9" s="125"/>
      <c r="O9" s="125"/>
      <c r="P9" s="126"/>
      <c r="Q9" s="122"/>
      <c r="R9" s="122"/>
    </row>
    <row r="10" spans="1:19" ht="93" thickBot="1" x14ac:dyDescent="0.35">
      <c r="A10" s="123"/>
      <c r="B10" s="123"/>
      <c r="C10" s="123"/>
      <c r="D10" s="123"/>
      <c r="E10" s="123"/>
      <c r="F10" s="123"/>
      <c r="G10" s="86" t="s">
        <v>99</v>
      </c>
      <c r="H10" s="86" t="s">
        <v>100</v>
      </c>
      <c r="I10" s="86" t="s">
        <v>101</v>
      </c>
      <c r="J10" s="86" t="s">
        <v>102</v>
      </c>
      <c r="K10" s="86" t="s">
        <v>103</v>
      </c>
      <c r="L10" s="86" t="s">
        <v>104</v>
      </c>
      <c r="M10" s="86" t="s">
        <v>105</v>
      </c>
      <c r="N10" s="86" t="s">
        <v>106</v>
      </c>
      <c r="O10" s="86" t="s">
        <v>107</v>
      </c>
      <c r="P10" s="86" t="s">
        <v>108</v>
      </c>
      <c r="Q10" s="123"/>
      <c r="R10" s="123"/>
    </row>
    <row r="11" spans="1:19" x14ac:dyDescent="0.3">
      <c r="A11">
        <v>0</v>
      </c>
      <c r="B11" s="87">
        <v>45163</v>
      </c>
      <c r="D11" s="88">
        <f>-C2</f>
        <v>-1000</v>
      </c>
      <c r="E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9" x14ac:dyDescent="0.3">
      <c r="A12">
        <v>1</v>
      </c>
      <c r="B12" s="87">
        <v>45204</v>
      </c>
      <c r="C12">
        <f>B12-B11</f>
        <v>41</v>
      </c>
      <c r="D12" s="88">
        <f>E12+F12+I12</f>
        <v>1100.0112328767123</v>
      </c>
      <c r="E12">
        <f>C2</f>
        <v>1000</v>
      </c>
      <c r="F12" s="88">
        <f>$C$2*$C$4*C12/365</f>
        <v>1.1232876712328768E-2</v>
      </c>
      <c r="G12">
        <v>0</v>
      </c>
      <c r="H12">
        <v>0</v>
      </c>
      <c r="I12">
        <f>$C$3</f>
        <v>100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9" x14ac:dyDescent="0.3">
      <c r="A13">
        <v>2</v>
      </c>
      <c r="B13" s="87">
        <v>45224</v>
      </c>
      <c r="C13">
        <f t="shared" ref="C13:C23" si="0">B13-B12</f>
        <v>20</v>
      </c>
      <c r="D13" s="88">
        <f t="shared" ref="D13:D23" si="1">E13+F13+I13</f>
        <v>0</v>
      </c>
      <c r="E13">
        <v>0</v>
      </c>
      <c r="F13" s="88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9" x14ac:dyDescent="0.3">
      <c r="A14">
        <v>3</v>
      </c>
      <c r="B14" s="87">
        <v>45255</v>
      </c>
      <c r="C14">
        <f t="shared" si="0"/>
        <v>31</v>
      </c>
      <c r="D14" s="88">
        <f t="shared" si="1"/>
        <v>0</v>
      </c>
      <c r="E14">
        <v>0</v>
      </c>
      <c r="F14" s="88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9" x14ac:dyDescent="0.3">
      <c r="A15">
        <v>4</v>
      </c>
      <c r="B15" s="87">
        <v>45285</v>
      </c>
      <c r="C15">
        <f t="shared" si="0"/>
        <v>30</v>
      </c>
      <c r="D15" s="88">
        <f t="shared" si="1"/>
        <v>0</v>
      </c>
      <c r="E15">
        <v>0</v>
      </c>
      <c r="F15" s="88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9" x14ac:dyDescent="0.3">
      <c r="A16">
        <v>5</v>
      </c>
      <c r="B16" s="87">
        <v>45316</v>
      </c>
      <c r="C16">
        <f t="shared" si="0"/>
        <v>31</v>
      </c>
      <c r="D16" s="88">
        <f t="shared" si="1"/>
        <v>0</v>
      </c>
      <c r="E16">
        <v>0</v>
      </c>
      <c r="F16" s="88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8" x14ac:dyDescent="0.3">
      <c r="A17">
        <v>6</v>
      </c>
      <c r="B17" s="87">
        <v>45347</v>
      </c>
      <c r="C17">
        <f>B17-B16-1</f>
        <v>30</v>
      </c>
      <c r="D17" s="88">
        <f t="shared" si="1"/>
        <v>0</v>
      </c>
      <c r="E17">
        <v>0</v>
      </c>
      <c r="F17" s="88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8" x14ac:dyDescent="0.3">
      <c r="A18">
        <v>7</v>
      </c>
      <c r="B18" s="87">
        <v>45376</v>
      </c>
      <c r="C18">
        <f t="shared" si="0"/>
        <v>29</v>
      </c>
      <c r="D18" s="88">
        <f t="shared" si="1"/>
        <v>0</v>
      </c>
      <c r="E18">
        <v>0</v>
      </c>
      <c r="F18" s="8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8" x14ac:dyDescent="0.3">
      <c r="A19">
        <v>8</v>
      </c>
      <c r="B19" s="87">
        <v>45407</v>
      </c>
      <c r="C19">
        <f t="shared" si="0"/>
        <v>31</v>
      </c>
      <c r="D19" s="88">
        <f t="shared" si="1"/>
        <v>0</v>
      </c>
      <c r="E19">
        <v>0</v>
      </c>
      <c r="F19" s="88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8" x14ac:dyDescent="0.3">
      <c r="A20">
        <v>9</v>
      </c>
      <c r="B20" s="87">
        <v>45437</v>
      </c>
      <c r="C20">
        <f t="shared" si="0"/>
        <v>30</v>
      </c>
      <c r="D20" s="88">
        <f t="shared" si="1"/>
        <v>0</v>
      </c>
      <c r="E20">
        <v>0</v>
      </c>
      <c r="F20" s="88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8" x14ac:dyDescent="0.3">
      <c r="A21">
        <v>10</v>
      </c>
      <c r="B21" s="87">
        <v>45468</v>
      </c>
      <c r="C21">
        <f t="shared" si="0"/>
        <v>31</v>
      </c>
      <c r="D21" s="88">
        <f t="shared" si="1"/>
        <v>0</v>
      </c>
      <c r="E21">
        <v>0</v>
      </c>
      <c r="F21" s="88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8" x14ac:dyDescent="0.3">
      <c r="A22">
        <v>11</v>
      </c>
      <c r="B22" s="87">
        <v>45498</v>
      </c>
      <c r="C22">
        <f t="shared" si="0"/>
        <v>30</v>
      </c>
      <c r="D22" s="88">
        <f t="shared" si="1"/>
        <v>0</v>
      </c>
      <c r="E22">
        <v>0</v>
      </c>
      <c r="F22" s="88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8" x14ac:dyDescent="0.3">
      <c r="A23">
        <v>12</v>
      </c>
      <c r="B23" s="87">
        <v>45529</v>
      </c>
      <c r="C23">
        <f t="shared" si="0"/>
        <v>31</v>
      </c>
      <c r="D23" s="88">
        <f t="shared" si="1"/>
        <v>0</v>
      </c>
      <c r="E23">
        <v>0</v>
      </c>
      <c r="F23" s="88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8" x14ac:dyDescent="0.3">
      <c r="D24" s="88">
        <f>SUM(D11:D23)</f>
        <v>100.01123287671226</v>
      </c>
      <c r="E24">
        <f>SUM(E11:E23)</f>
        <v>1000</v>
      </c>
      <c r="F24" s="88">
        <f>SUM(F11:F23)</f>
        <v>1.1232876712328768E-2</v>
      </c>
      <c r="I24" s="88">
        <f t="shared" ref="I24" si="2">SUM(I11:I23)</f>
        <v>100</v>
      </c>
      <c r="Q24" s="89">
        <f>XIRR(D11:D23,B11:B23,120)</f>
        <v>1.3363361964002252</v>
      </c>
      <c r="R24" s="90">
        <f>E24+F24+I24</f>
        <v>1100.0112328767123</v>
      </c>
    </row>
    <row r="28" spans="1:18" x14ac:dyDescent="0.3">
      <c r="F28" t="s">
        <v>109</v>
      </c>
      <c r="G28">
        <v>133.63</v>
      </c>
      <c r="H28">
        <v>1100.01</v>
      </c>
    </row>
    <row r="29" spans="1:18" x14ac:dyDescent="0.3">
      <c r="F29" t="s">
        <v>110</v>
      </c>
      <c r="G29" s="84">
        <v>4.5499999999999999E-2</v>
      </c>
      <c r="H29">
        <v>20100.22</v>
      </c>
    </row>
    <row r="32" spans="1:18" x14ac:dyDescent="0.3">
      <c r="C32" t="s">
        <v>112</v>
      </c>
    </row>
    <row r="34" spans="2:6" x14ac:dyDescent="0.3">
      <c r="B34" t="s">
        <v>113</v>
      </c>
      <c r="C34" s="88">
        <f>F24+I24</f>
        <v>100.01123287671233</v>
      </c>
      <c r="D34" s="94">
        <f>калькулятор!D22</f>
        <v>1200.1347945205471</v>
      </c>
      <c r="E34" s="94">
        <v>50000</v>
      </c>
    </row>
    <row r="35" spans="2:6" x14ac:dyDescent="0.3">
      <c r="B35" t="s">
        <v>114</v>
      </c>
      <c r="C35">
        <f>E24</f>
        <v>1000</v>
      </c>
      <c r="D35" s="92">
        <f>калькулятор!D9</f>
        <v>1000</v>
      </c>
      <c r="E35" s="92">
        <v>200000</v>
      </c>
    </row>
    <row r="36" spans="2:6" x14ac:dyDescent="0.3">
      <c r="B36" t="s">
        <v>115</v>
      </c>
      <c r="C36">
        <v>30</v>
      </c>
      <c r="D36">
        <v>365</v>
      </c>
      <c r="E36">
        <v>365</v>
      </c>
    </row>
    <row r="37" spans="2:6" x14ac:dyDescent="0.3">
      <c r="B37" t="s">
        <v>116</v>
      </c>
      <c r="C37" s="96">
        <f>(C34/C35)/C36</f>
        <v>3.3337077625570778E-3</v>
      </c>
      <c r="D37" s="84">
        <f>(D34/D35)/D36</f>
        <v>3.2880405329330058E-3</v>
      </c>
      <c r="E37" s="84">
        <f>(E34/E35)/E36</f>
        <v>6.8493150684931507E-4</v>
      </c>
    </row>
    <row r="38" spans="2:6" x14ac:dyDescent="0.3">
      <c r="C38" s="84">
        <f>C37*365</f>
        <v>1.2168033333333335</v>
      </c>
      <c r="D38" s="84">
        <f>D37*365</f>
        <v>1.2001347945205472</v>
      </c>
      <c r="E38" s="84">
        <f>E37*365</f>
        <v>0.25</v>
      </c>
    </row>
    <row r="42" spans="2:6" x14ac:dyDescent="0.3">
      <c r="D42" t="s">
        <v>117</v>
      </c>
      <c r="F42">
        <v>200000</v>
      </c>
    </row>
    <row r="43" spans="2:6" x14ac:dyDescent="0.3">
      <c r="D43" t="s">
        <v>120</v>
      </c>
      <c r="E43">
        <f>45%/360</f>
        <v>1.25E-3</v>
      </c>
      <c r="F43">
        <f>F42*E43*30</f>
        <v>7500</v>
      </c>
    </row>
    <row r="44" spans="2:6" x14ac:dyDescent="0.3">
      <c r="D44" t="s">
        <v>118</v>
      </c>
      <c r="E44">
        <v>100</v>
      </c>
      <c r="F44">
        <v>100</v>
      </c>
    </row>
    <row r="45" spans="2:6" x14ac:dyDescent="0.3">
      <c r="D45" t="s">
        <v>119</v>
      </c>
      <c r="E45">
        <v>25</v>
      </c>
      <c r="F45">
        <v>25</v>
      </c>
    </row>
    <row r="47" spans="2:6" x14ac:dyDescent="0.3">
      <c r="D47" t="s">
        <v>113</v>
      </c>
      <c r="E47" s="88">
        <f>F43+F44+F45</f>
        <v>7625</v>
      </c>
    </row>
    <row r="48" spans="2:6" x14ac:dyDescent="0.3">
      <c r="D48" t="s">
        <v>114</v>
      </c>
      <c r="E48">
        <f>F42</f>
        <v>200000</v>
      </c>
    </row>
    <row r="49" spans="4:5" x14ac:dyDescent="0.3">
      <c r="D49" t="s">
        <v>115</v>
      </c>
      <c r="E49">
        <v>30</v>
      </c>
    </row>
    <row r="50" spans="4:5" x14ac:dyDescent="0.3">
      <c r="D50" t="s">
        <v>116</v>
      </c>
      <c r="E50" s="84">
        <f>(E47/E48)/E49</f>
        <v>1.2708333333333332E-3</v>
      </c>
    </row>
    <row r="51" spans="4:5" x14ac:dyDescent="0.3">
      <c r="E51" s="84">
        <f>E50*365</f>
        <v>0.46385416666666662</v>
      </c>
    </row>
  </sheetData>
  <mergeCells count="15">
    <mergeCell ref="A1:R1"/>
    <mergeCell ref="A5:B5"/>
    <mergeCell ref="A7:A10"/>
    <mergeCell ref="B7:B10"/>
    <mergeCell ref="C7:C10"/>
    <mergeCell ref="D7:D10"/>
    <mergeCell ref="E7:P7"/>
    <mergeCell ref="Q7:Q10"/>
    <mergeCell ref="R7:R10"/>
    <mergeCell ref="E8:E10"/>
    <mergeCell ref="F8:F10"/>
    <mergeCell ref="G8:P8"/>
    <mergeCell ref="G9:J9"/>
    <mergeCell ref="K9:L9"/>
    <mergeCell ref="M9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калькулятор</vt:lpstr>
      <vt:lpstr>как у пилов</vt:lpstr>
      <vt:lpstr>info</vt:lpstr>
      <vt:lpstr>calc</vt:lpstr>
      <vt:lpstr>Аркуш1</vt:lpstr>
    </vt:vector>
  </TitlesOfParts>
  <Company>Alfa-Bank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Мазур Олександр Віталійович</dc:creator>
  <cp:lastModifiedBy>Шутій Олена Валеріївна</cp:lastModifiedBy>
  <cp:lastPrinted>2023-11-30T13:36:33Z</cp:lastPrinted>
  <dcterms:created xsi:type="dcterms:W3CDTF">2020-08-27T07:43:41Z</dcterms:created>
  <dcterms:modified xsi:type="dcterms:W3CDTF">2024-04-02T08:27:31Z</dcterms:modified>
</cp:coreProperties>
</file>